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01522585d1aa50/"/>
    </mc:Choice>
  </mc:AlternateContent>
  <xr:revisionPtr revIDLastSave="963" documentId="8_{9D09DCEC-5C88-4126-8E5B-48FD031E1B7B}" xr6:coauthVersionLast="47" xr6:coauthVersionMax="47" xr10:uidLastSave="{2B54B848-1565-49C6-BCBC-3B28D44FFE56}"/>
  <bookViews>
    <workbookView xWindow="-108" yWindow="-108" windowWidth="23256" windowHeight="12456" xr2:uid="{E15DAA7E-77D4-489F-8483-9070C298C930}"/>
  </bookViews>
  <sheets>
    <sheet name="Cards" sheetId="1" r:id="rId1"/>
    <sheet name="Team data" sheetId="8" r:id="rId2"/>
    <sheet name="Logos" sheetId="7" r:id="rId3"/>
  </sheets>
  <externalReferences>
    <externalReference r:id="rId4"/>
  </externalReferences>
  <definedNames>
    <definedName name="ANA">#REF!</definedName>
    <definedName name="ARI">#REF!</definedName>
    <definedName name="BOS">#REF!</definedName>
    <definedName name="BUF">#REF!</definedName>
    <definedName name="CAR">#REF!</definedName>
    <definedName name="CBJ">#REF!</definedName>
    <definedName name="CGY">#REF!</definedName>
    <definedName name="CHI">#REF!</definedName>
    <definedName name="COL">#REF!</definedName>
    <definedName name="DAL">#REF!</definedName>
    <definedName name="DET">#REF!</definedName>
    <definedName name="EDM">#REF!</definedName>
    <definedName name="FLA">#REF!</definedName>
    <definedName name="L.A">#REF!</definedName>
    <definedName name="Logo">INDIRECT(Cards!$J$2)</definedName>
    <definedName name="LogoLookup" localSheetId="2">INDEX(Logos!$A$2:$A$7,MATCH([1]Cards!$J$2,Logos!$B$2:$B$7,0))</definedName>
    <definedName name="LogoLookup">INDEX(#REF!,MATCH(Cards!$J$2,#REF!,0))</definedName>
    <definedName name="MIN">#REF!</definedName>
    <definedName name="MTL">#REF!</definedName>
    <definedName name="N.J">#REF!</definedName>
    <definedName name="NSH">#REF!</definedName>
    <definedName name="NYI">#REF!</definedName>
    <definedName name="NYR">#REF!</definedName>
    <definedName name="OTT">#REF!</definedName>
    <definedName name="PHI">#REF!</definedName>
    <definedName name="PIT">#REF!</definedName>
    <definedName name="S.J">#REF!</definedName>
    <definedName name="STL">#REF!</definedName>
    <definedName name="T.B">#REF!</definedName>
    <definedName name="TOR">#REF!</definedName>
    <definedName name="VAN">#REF!</definedName>
    <definedName name="VGK">#REF!</definedName>
    <definedName name="WPG">#REF!</definedName>
    <definedName name="WSH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8" i="8" l="1"/>
  <c r="O18" i="8"/>
  <c r="N18" i="8"/>
  <c r="P17" i="8"/>
  <c r="O17" i="8"/>
  <c r="N17" i="8"/>
  <c r="P16" i="8"/>
  <c r="O16" i="8"/>
  <c r="N16" i="8"/>
  <c r="P15" i="8"/>
  <c r="O15" i="8"/>
  <c r="N15" i="8"/>
  <c r="P14" i="8"/>
  <c r="O14" i="8"/>
  <c r="N14" i="8"/>
  <c r="P13" i="8"/>
  <c r="O13" i="8"/>
  <c r="N13" i="8"/>
  <c r="M18" i="8"/>
  <c r="M17" i="8"/>
  <c r="M16" i="8"/>
  <c r="M15" i="8"/>
  <c r="M14" i="8"/>
  <c r="M13" i="8"/>
  <c r="L18" i="8"/>
  <c r="L17" i="8"/>
  <c r="L16" i="8"/>
  <c r="L15" i="8"/>
  <c r="L14" i="8"/>
  <c r="L13" i="8"/>
  <c r="K18" i="8"/>
  <c r="K17" i="8"/>
  <c r="K16" i="8"/>
  <c r="K15" i="8"/>
  <c r="K14" i="8"/>
  <c r="K13" i="8"/>
  <c r="F18" i="8"/>
  <c r="F17" i="8"/>
  <c r="F16" i="8"/>
  <c r="F15" i="8"/>
  <c r="F14" i="8"/>
  <c r="F13" i="8"/>
  <c r="J18" i="8"/>
  <c r="J17" i="8"/>
  <c r="J16" i="8"/>
  <c r="J15" i="8"/>
  <c r="J14" i="8"/>
  <c r="J13" i="8"/>
  <c r="Y16" i="8"/>
  <c r="Y15" i="8"/>
  <c r="Y14" i="8"/>
  <c r="Y13" i="8"/>
  <c r="Y12" i="8"/>
  <c r="Y11" i="8"/>
  <c r="Y9" i="8"/>
  <c r="E18" i="8"/>
  <c r="E17" i="8"/>
  <c r="E16" i="8"/>
  <c r="E15" i="8"/>
  <c r="E14" i="8"/>
  <c r="E13" i="8"/>
  <c r="P9" i="8"/>
  <c r="O9" i="8"/>
  <c r="N9" i="8"/>
  <c r="M9" i="8"/>
  <c r="L9" i="8"/>
  <c r="K9" i="8"/>
  <c r="J9" i="8"/>
  <c r="I9" i="8"/>
  <c r="G9" i="8"/>
  <c r="D9" i="8"/>
  <c r="F9" i="8"/>
  <c r="E9" i="8"/>
  <c r="C10" i="8"/>
  <c r="B9" i="8"/>
  <c r="C9" i="8"/>
  <c r="P48" i="1"/>
  <c r="I48" i="1"/>
  <c r="B48" i="1"/>
  <c r="AE2" i="8"/>
  <c r="AE3" i="8"/>
  <c r="AE4" i="8"/>
  <c r="AE5" i="8"/>
  <c r="AE6" i="8"/>
  <c r="AE7" i="8"/>
  <c r="AD2" i="8"/>
  <c r="AD3" i="8"/>
  <c r="AD4" i="8"/>
  <c r="AD5" i="8"/>
  <c r="AD6" i="8"/>
  <c r="AD7" i="8"/>
  <c r="AC2" i="8"/>
  <c r="AC3" i="8"/>
  <c r="AC4" i="8"/>
  <c r="AC5" i="8"/>
  <c r="AC6" i="8"/>
  <c r="AC7" i="8"/>
  <c r="AD37" i="1"/>
  <c r="W26" i="1"/>
  <c r="BH2" i="8"/>
  <c r="BH3" i="8"/>
  <c r="BH4" i="8"/>
  <c r="BH5" i="8"/>
  <c r="BH6" i="8"/>
  <c r="BH7" i="8"/>
  <c r="Y2" i="8"/>
  <c r="Y3" i="8"/>
  <c r="Y4" i="8"/>
  <c r="Y5" i="8"/>
  <c r="Y6" i="8"/>
  <c r="Y7" i="8"/>
  <c r="AD15" i="1"/>
  <c r="W15" i="1"/>
  <c r="P15" i="1"/>
  <c r="BX10" i="8"/>
  <c r="BW10" i="8"/>
  <c r="BV10" i="8"/>
  <c r="BU10" i="8"/>
  <c r="BT10" i="8"/>
  <c r="BS10" i="8"/>
  <c r="BX9" i="8"/>
  <c r="BW9" i="8"/>
  <c r="BV9" i="8"/>
  <c r="BU9" i="8"/>
  <c r="BT9" i="8"/>
  <c r="BS9" i="8"/>
  <c r="BX7" i="8"/>
  <c r="BW7" i="8"/>
  <c r="BV7" i="8"/>
  <c r="BU7" i="8"/>
  <c r="BT7" i="8"/>
  <c r="BS7" i="8"/>
  <c r="CK3" i="8"/>
  <c r="CI3" i="8"/>
  <c r="CG3" i="8"/>
  <c r="CE3" i="8"/>
  <c r="CC3" i="8"/>
  <c r="CA3" i="8"/>
  <c r="AD26" i="1" l="1"/>
  <c r="AS2" i="8"/>
  <c r="AS3" i="8"/>
  <c r="AS4" i="8"/>
  <c r="AS5" i="8"/>
  <c r="AS6" i="8"/>
  <c r="AS7" i="8"/>
  <c r="AR2" i="8"/>
  <c r="AR3" i="8"/>
  <c r="AR4" i="8"/>
  <c r="AR5" i="8"/>
  <c r="AR6" i="8"/>
  <c r="AR7" i="8"/>
  <c r="AP2" i="8"/>
  <c r="AP3" i="8"/>
  <c r="AP4" i="8"/>
  <c r="AP5" i="8"/>
  <c r="AP6" i="8"/>
  <c r="AP7" i="8"/>
  <c r="BP2" i="8"/>
  <c r="BP3" i="8"/>
  <c r="BP4" i="8"/>
  <c r="BP5" i="8"/>
  <c r="BP6" i="8"/>
  <c r="BP7" i="8"/>
  <c r="BO2" i="8"/>
  <c r="BO3" i="8"/>
  <c r="BO4" i="8"/>
  <c r="BO5" i="8"/>
  <c r="BO6" i="8"/>
  <c r="BO7" i="8"/>
  <c r="BN2" i="8"/>
  <c r="BN3" i="8"/>
  <c r="BN4" i="8"/>
  <c r="BN5" i="8"/>
  <c r="BN6" i="8"/>
  <c r="BN7" i="8"/>
  <c r="BM2" i="8"/>
  <c r="BM3" i="8"/>
  <c r="BM4" i="8"/>
  <c r="BM5" i="8"/>
  <c r="BM6" i="8"/>
  <c r="BM7" i="8"/>
  <c r="BL2" i="8"/>
  <c r="BL3" i="8"/>
  <c r="BL4" i="8"/>
  <c r="BL5" i="8"/>
  <c r="BL6" i="8"/>
  <c r="BL7" i="8"/>
  <c r="AJ2" i="8"/>
  <c r="AJ3" i="8"/>
  <c r="AJ4" i="8"/>
  <c r="AJ5" i="8"/>
  <c r="AJ6" i="8"/>
  <c r="AJ7" i="8"/>
  <c r="AI2" i="8"/>
  <c r="AI3" i="8"/>
  <c r="AI4" i="8"/>
  <c r="I37" i="1" s="1"/>
  <c r="AI5" i="8"/>
  <c r="AI6" i="8"/>
  <c r="AI7" i="8"/>
  <c r="AH2" i="8"/>
  <c r="AH3" i="8"/>
  <c r="AH4" i="8"/>
  <c r="BU5" i="8" s="1"/>
  <c r="AH5" i="8"/>
  <c r="BV5" i="8" s="1"/>
  <c r="AH6" i="8"/>
  <c r="AH7" i="8"/>
  <c r="AG2" i="8"/>
  <c r="AG3" i="8"/>
  <c r="AG4" i="8"/>
  <c r="AG5" i="8"/>
  <c r="AG6" i="8"/>
  <c r="AG7" i="8"/>
  <c r="AF2" i="8"/>
  <c r="AF3" i="8"/>
  <c r="AF4" i="8"/>
  <c r="AF5" i="8"/>
  <c r="AF6" i="8"/>
  <c r="AF7" i="8"/>
  <c r="AY2" i="1"/>
  <c r="B37" i="1" s="1"/>
  <c r="J2" i="8"/>
  <c r="J3" i="8"/>
  <c r="J4" i="8"/>
  <c r="J5" i="8"/>
  <c r="J6" i="8"/>
  <c r="J7" i="8"/>
  <c r="I2" i="8"/>
  <c r="I3" i="8"/>
  <c r="I4" i="8"/>
  <c r="I5" i="8"/>
  <c r="I6" i="8"/>
  <c r="I7" i="8"/>
  <c r="G2" i="8"/>
  <c r="G3" i="8"/>
  <c r="G4" i="8"/>
  <c r="G5" i="8"/>
  <c r="G6" i="8"/>
  <c r="BW11" i="8" s="1"/>
  <c r="G7" i="8"/>
  <c r="BX11" i="8" s="1"/>
  <c r="C7" i="7"/>
  <c r="C6" i="7"/>
  <c r="C5" i="7"/>
  <c r="C4" i="7"/>
  <c r="C3" i="7"/>
  <c r="C2" i="7"/>
  <c r="P26" i="1" l="1"/>
  <c r="I26" i="1"/>
  <c r="B15" i="1"/>
  <c r="B26" i="1"/>
  <c r="BV3" i="8"/>
  <c r="CF3" i="8" s="1"/>
  <c r="BS11" i="8"/>
  <c r="BW5" i="8"/>
  <c r="BS6" i="8"/>
  <c r="BW6" i="8"/>
  <c r="BV11" i="8"/>
  <c r="BX3" i="8"/>
  <c r="CJ3" i="8" s="1"/>
  <c r="BW3" i="8"/>
  <c r="CH3" i="8" s="1"/>
  <c r="BU11" i="8"/>
  <c r="BT5" i="8"/>
  <c r="BT11" i="8"/>
  <c r="BS5" i="8"/>
  <c r="BX8" i="8"/>
  <c r="BT3" i="8"/>
  <c r="CB3" i="8" s="1"/>
  <c r="I15" i="1"/>
  <c r="BV8" i="8"/>
  <c r="BU8" i="8"/>
  <c r="BT8" i="8"/>
  <c r="BV4" i="8"/>
  <c r="BT4" i="8"/>
  <c r="BS4" i="8"/>
  <c r="BU6" i="8"/>
  <c r="BU3" i="8"/>
  <c r="CD3" i="8" s="1"/>
  <c r="BW8" i="8"/>
  <c r="BS3" i="8"/>
  <c r="BZ3" i="8" s="1"/>
  <c r="BX4" i="8"/>
  <c r="BW4" i="8"/>
  <c r="BS8" i="8"/>
  <c r="BX6" i="8"/>
  <c r="BU4" i="8"/>
  <c r="BX5" i="8"/>
  <c r="BT6" i="8"/>
  <c r="BV6" i="8"/>
  <c r="BT2" i="1"/>
  <c r="CA2" i="1"/>
  <c r="W37" i="1" s="1"/>
  <c r="BF2" i="1"/>
  <c r="P37" i="1" s="1"/>
  <c r="BM2" i="1"/>
</calcChain>
</file>

<file path=xl/sharedStrings.xml><?xml version="1.0" encoding="utf-8"?>
<sst xmlns="http://schemas.openxmlformats.org/spreadsheetml/2006/main" count="172" uniqueCount="113">
  <si>
    <t>Team</t>
  </si>
  <si>
    <t>GP</t>
  </si>
  <si>
    <t>Logo</t>
  </si>
  <si>
    <t>CF%</t>
  </si>
  <si>
    <t>FF%</t>
  </si>
  <si>
    <t>SF%</t>
  </si>
  <si>
    <t>GF%</t>
  </si>
  <si>
    <t>Boston Pride</t>
  </si>
  <si>
    <t>Buffalo Beauts</t>
  </si>
  <si>
    <t>Connecticut Whale</t>
  </si>
  <si>
    <t>Metropolitan Riveters</t>
  </si>
  <si>
    <t>Minnesota Whitecaps</t>
  </si>
  <si>
    <t>Toronto Six</t>
  </si>
  <si>
    <t>Poss./GP</t>
  </si>
  <si>
    <t>Avg. time</t>
  </si>
  <si>
    <t>Possessions - 5v5</t>
  </si>
  <si>
    <t>Poss.%</t>
  </si>
  <si>
    <t>Carry dist.</t>
  </si>
  <si>
    <t>Player poss.</t>
  </si>
  <si>
    <t>Passing - 5v5</t>
  </si>
  <si>
    <t>Completion%</t>
  </si>
  <si>
    <t>Pass%</t>
  </si>
  <si>
    <t>Pass dist.</t>
  </si>
  <si>
    <t>Pass/carry</t>
  </si>
  <si>
    <t>Shooting - 5v5</t>
  </si>
  <si>
    <t>Zone starts - 5v5</t>
  </si>
  <si>
    <t>Def</t>
  </si>
  <si>
    <t>Neu</t>
  </si>
  <si>
    <t>Off</t>
  </si>
  <si>
    <t>CFSh%</t>
  </si>
  <si>
    <t>Shot time</t>
  </si>
  <si>
    <t xml:space="preserve">         Viz by @HockeySkytte</t>
  </si>
  <si>
    <t>Team possessions</t>
  </si>
  <si>
    <t>Player possessions</t>
  </si>
  <si>
    <t>Carry dist</t>
  </si>
  <si>
    <t>Pass dist</t>
  </si>
  <si>
    <t>Possession time</t>
  </si>
  <si>
    <t>Def time</t>
  </si>
  <si>
    <t>Neu time</t>
  </si>
  <si>
    <t>Off time</t>
  </si>
  <si>
    <t>Shot</t>
  </si>
  <si>
    <t>Puck Loss</t>
  </si>
  <si>
    <t>Play</t>
  </si>
  <si>
    <t>Dump In/Out</t>
  </si>
  <si>
    <t>Incomplete Play</t>
  </si>
  <si>
    <t>Shot assist</t>
  </si>
  <si>
    <t>Missed</t>
  </si>
  <si>
    <t>Blocked</t>
  </si>
  <si>
    <t>Face Off</t>
  </si>
  <si>
    <t>Goal</t>
  </si>
  <si>
    <t>Deflected</t>
  </si>
  <si>
    <t>Def zone start</t>
  </si>
  <si>
    <t>Neu zone start</t>
  </si>
  <si>
    <t>Off zone start</t>
  </si>
  <si>
    <t>O Team possessions</t>
  </si>
  <si>
    <t>O Player possessions</t>
  </si>
  <si>
    <t>O Carry dist</t>
  </si>
  <si>
    <t>O Pass dist</t>
  </si>
  <si>
    <t>O Possession time</t>
  </si>
  <si>
    <t>O Def time</t>
  </si>
  <si>
    <t>O Neu time</t>
  </si>
  <si>
    <t>O Off time</t>
  </si>
  <si>
    <t>O Shot</t>
  </si>
  <si>
    <t>O Puck Loss</t>
  </si>
  <si>
    <t>O Play</t>
  </si>
  <si>
    <t>O Dump In/Out</t>
  </si>
  <si>
    <t>O Incomplete Play</t>
  </si>
  <si>
    <t>O Shot assist</t>
  </si>
  <si>
    <t>O Missed</t>
  </si>
  <si>
    <t>O Blocked</t>
  </si>
  <si>
    <t>O Face Off</t>
  </si>
  <si>
    <t>O Goal</t>
  </si>
  <si>
    <t>O Deflected</t>
  </si>
  <si>
    <t>O Def zone start</t>
  </si>
  <si>
    <t>O Neu zone start</t>
  </si>
  <si>
    <t>O Off zone start</t>
  </si>
  <si>
    <t>Pass/Carry</t>
  </si>
  <si>
    <t>Avg. Poss. Time</t>
  </si>
  <si>
    <t>Avg. player poss.</t>
  </si>
  <si>
    <t>CF</t>
  </si>
  <si>
    <t>FF</t>
  </si>
  <si>
    <t>SF</t>
  </si>
  <si>
    <t>GF</t>
  </si>
  <si>
    <t>PassF</t>
  </si>
  <si>
    <t>CA</t>
  </si>
  <si>
    <t>FA</t>
  </si>
  <si>
    <t>SA</t>
  </si>
  <si>
    <t>GA</t>
  </si>
  <si>
    <t>PassA</t>
  </si>
  <si>
    <t>O pass/carry</t>
  </si>
  <si>
    <t>Avg. poss time</t>
  </si>
  <si>
    <t>O Avg. player poss.</t>
  </si>
  <si>
    <t>x</t>
  </si>
  <si>
    <t>y</t>
  </si>
  <si>
    <t>Corsi/GP</t>
  </si>
  <si>
    <t>Passes/GP</t>
  </si>
  <si>
    <t>GF% vs.</t>
  </si>
  <si>
    <t>Poss%</t>
  </si>
  <si>
    <t>Avg. Poss. Time%</t>
  </si>
  <si>
    <t>Avg. Carry dist.%</t>
  </si>
  <si>
    <t>Avg. Pass dist.%</t>
  </si>
  <si>
    <t>Pass/Carry%</t>
  </si>
  <si>
    <t>Passes</t>
  </si>
  <si>
    <t>O passes</t>
  </si>
  <si>
    <t>Def%</t>
  </si>
  <si>
    <t>Neu%</t>
  </si>
  <si>
    <t>Off%</t>
  </si>
  <si>
    <t>Poss/GP</t>
  </si>
  <si>
    <t>Carry/Poss</t>
  </si>
  <si>
    <t>Pass/Poss</t>
  </si>
  <si>
    <t>Player Poss</t>
  </si>
  <si>
    <t>CSh%</t>
  </si>
  <si>
    <t>Data from Stathletes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</si>
</sst>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8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7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top"/>
    </xf>
    <xf numFmtId="165" fontId="5" fillId="2" borderId="0" xfId="0" applyNumberFormat="1" applyFont="1" applyFill="1" applyAlignment="1">
      <alignment shrinkToFit="1"/>
    </xf>
    <xf numFmtId="0" fontId="5" fillId="2" borderId="0" xfId="0" applyFont="1" applyFill="1" applyAlignment="1">
      <alignment shrinkToFit="1"/>
    </xf>
    <xf numFmtId="165" fontId="5" fillId="2" borderId="0" xfId="0" applyNumberFormat="1" applyFont="1" applyFill="1" applyAlignment="1">
      <alignment vertical="center" shrinkToFit="1"/>
    </xf>
    <xf numFmtId="0" fontId="7" fillId="2" borderId="0" xfId="0" applyFont="1" applyFill="1"/>
    <xf numFmtId="0" fontId="0" fillId="2" borderId="0" xfId="0" applyFill="1" applyAlignment="1">
      <alignment horizontal="center"/>
    </xf>
    <xf numFmtId="0" fontId="0" fillId="0" borderId="0" xfId="0" applyAlignment="1"/>
    <xf numFmtId="164" fontId="0" fillId="0" borderId="0" xfId="1" applyNumberFormat="1" applyFont="1"/>
    <xf numFmtId="9" fontId="0" fillId="0" borderId="0" xfId="1" applyNumberFormat="1" applyFont="1"/>
    <xf numFmtId="164" fontId="5" fillId="2" borderId="0" xfId="1" applyNumberFormat="1" applyFont="1" applyFill="1" applyAlignment="1">
      <alignment shrinkToFit="1"/>
    </xf>
    <xf numFmtId="164" fontId="5" fillId="2" borderId="0" xfId="1" applyNumberFormat="1" applyFont="1" applyFill="1" applyAlignment="1">
      <alignment vertical="center" shrinkToFi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0" fillId="2" borderId="0" xfId="0" applyFill="1" applyAlignment="1">
      <alignment horizont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top"/>
    </xf>
    <xf numFmtId="0" fontId="6" fillId="2" borderId="0" xfId="0" applyFont="1" applyFill="1" applyAlignment="1">
      <alignment horizontal="left" vertical="center"/>
    </xf>
    <xf numFmtId="164" fontId="5" fillId="2" borderId="1" xfId="1" applyNumberFormat="1" applyFont="1" applyFill="1" applyBorder="1" applyAlignment="1">
      <alignment horizontal="center" vertical="center" shrinkToFit="1"/>
    </xf>
    <xf numFmtId="164" fontId="5" fillId="2" borderId="2" xfId="1" applyNumberFormat="1" applyFont="1" applyFill="1" applyBorder="1" applyAlignment="1">
      <alignment horizontal="center" vertical="center" shrinkToFit="1"/>
    </xf>
    <xf numFmtId="164" fontId="5" fillId="2" borderId="3" xfId="1" applyNumberFormat="1" applyFont="1" applyFill="1" applyBorder="1" applyAlignment="1">
      <alignment horizontal="center" vertical="center" shrinkToFit="1"/>
    </xf>
    <xf numFmtId="164" fontId="5" fillId="2" borderId="4" xfId="1" applyNumberFormat="1" applyFont="1" applyFill="1" applyBorder="1" applyAlignment="1">
      <alignment horizontal="center" vertical="center" shrinkToFit="1"/>
    </xf>
    <xf numFmtId="164" fontId="5" fillId="2" borderId="0" xfId="1" applyNumberFormat="1" applyFont="1" applyFill="1" applyAlignment="1">
      <alignment horizontal="center" vertical="center" shrinkToFit="1"/>
    </xf>
    <xf numFmtId="164" fontId="5" fillId="2" borderId="5" xfId="1" applyNumberFormat="1" applyFont="1" applyFill="1" applyBorder="1" applyAlignment="1">
      <alignment horizontal="center" vertical="center" shrinkToFit="1"/>
    </xf>
    <xf numFmtId="164" fontId="5" fillId="2" borderId="6" xfId="1" applyNumberFormat="1" applyFont="1" applyFill="1" applyBorder="1" applyAlignment="1">
      <alignment horizontal="center" vertical="center" shrinkToFit="1"/>
    </xf>
    <xf numFmtId="164" fontId="5" fillId="2" borderId="7" xfId="1" applyNumberFormat="1" applyFont="1" applyFill="1" applyBorder="1" applyAlignment="1">
      <alignment horizontal="center" vertical="center" shrinkToFit="1"/>
    </xf>
    <xf numFmtId="164" fontId="5" fillId="2" borderId="8" xfId="1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2" borderId="3" xfId="0" applyNumberFormat="1" applyFont="1" applyFill="1" applyBorder="1" applyAlignment="1">
      <alignment horizontal="center" vertical="center" shrinkToFit="1"/>
    </xf>
    <xf numFmtId="0" fontId="5" fillId="2" borderId="4" xfId="0" applyNumberFormat="1" applyFont="1" applyFill="1" applyBorder="1" applyAlignment="1">
      <alignment horizontal="center" vertical="center" shrinkToFit="1"/>
    </xf>
    <xf numFmtId="0" fontId="5" fillId="2" borderId="0" xfId="0" applyNumberFormat="1" applyFont="1" applyFill="1" applyAlignment="1">
      <alignment horizontal="center" vertical="center" shrinkToFit="1"/>
    </xf>
    <xf numFmtId="0" fontId="5" fillId="2" borderId="5" xfId="0" applyNumberFormat="1" applyFont="1" applyFill="1" applyBorder="1" applyAlignment="1">
      <alignment horizontal="center" vertical="center" shrinkToFit="1"/>
    </xf>
    <xf numFmtId="0" fontId="5" fillId="2" borderId="6" xfId="0" applyNumberFormat="1" applyFont="1" applyFill="1" applyBorder="1" applyAlignment="1">
      <alignment horizontal="center" vertical="center" shrinkToFit="1"/>
    </xf>
    <xf numFmtId="0" fontId="5" fillId="2" borderId="7" xfId="0" applyNumberFormat="1" applyFont="1" applyFill="1" applyBorder="1" applyAlignment="1">
      <alignment horizontal="center" vertical="center" shrinkToFit="1"/>
    </xf>
    <xf numFmtId="0" fontId="5" fillId="2" borderId="8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165" fontId="5" fillId="2" borderId="1" xfId="0" applyNumberFormat="1" applyFont="1" applyFill="1" applyBorder="1" applyAlignment="1">
      <alignment horizontal="center" vertical="center" shrinkToFit="1"/>
    </xf>
    <xf numFmtId="165" fontId="5" fillId="2" borderId="2" xfId="0" applyNumberFormat="1" applyFont="1" applyFill="1" applyBorder="1" applyAlignment="1">
      <alignment horizontal="center" vertical="center" shrinkToFit="1"/>
    </xf>
    <xf numFmtId="165" fontId="5" fillId="2" borderId="3" xfId="0" applyNumberFormat="1" applyFont="1" applyFill="1" applyBorder="1" applyAlignment="1">
      <alignment horizontal="center" vertical="center" shrinkToFit="1"/>
    </xf>
    <xf numFmtId="165" fontId="5" fillId="2" borderId="4" xfId="0" applyNumberFormat="1" applyFont="1" applyFill="1" applyBorder="1" applyAlignment="1">
      <alignment horizontal="center" vertical="center" shrinkToFit="1"/>
    </xf>
    <xf numFmtId="165" fontId="5" fillId="2" borderId="0" xfId="0" applyNumberFormat="1" applyFont="1" applyFill="1" applyBorder="1" applyAlignment="1">
      <alignment horizontal="center" vertical="center" shrinkToFit="1"/>
    </xf>
    <xf numFmtId="165" fontId="5" fillId="2" borderId="5" xfId="0" applyNumberFormat="1" applyFont="1" applyFill="1" applyBorder="1" applyAlignment="1">
      <alignment horizontal="center" vertical="center" shrinkToFit="1"/>
    </xf>
    <xf numFmtId="165" fontId="5" fillId="2" borderId="6" xfId="0" applyNumberFormat="1" applyFont="1" applyFill="1" applyBorder="1" applyAlignment="1">
      <alignment horizontal="center" vertical="center" shrinkToFit="1"/>
    </xf>
    <xf numFmtId="165" fontId="5" fillId="2" borderId="7" xfId="0" applyNumberFormat="1" applyFont="1" applyFill="1" applyBorder="1" applyAlignment="1">
      <alignment horizontal="center" vertical="center" shrinkToFit="1"/>
    </xf>
    <xf numFmtId="165" fontId="5" fillId="2" borderId="8" xfId="0" applyNumberFormat="1" applyFont="1" applyFill="1" applyBorder="1" applyAlignment="1">
      <alignment horizontal="center" vertical="center" shrinkToFit="1"/>
    </xf>
    <xf numFmtId="164" fontId="5" fillId="2" borderId="0" xfId="1" applyNumberFormat="1" applyFont="1" applyFill="1" applyBorder="1" applyAlignment="1">
      <alignment horizontal="center" vertical="center" shrinkToFit="1"/>
    </xf>
    <xf numFmtId="2" fontId="5" fillId="2" borderId="1" xfId="0" applyNumberFormat="1" applyFont="1" applyFill="1" applyBorder="1" applyAlignment="1">
      <alignment horizontal="center" vertical="center" shrinkToFit="1"/>
    </xf>
    <xf numFmtId="2" fontId="5" fillId="2" borderId="2" xfId="0" applyNumberFormat="1" applyFont="1" applyFill="1" applyBorder="1" applyAlignment="1">
      <alignment horizontal="center" vertical="center" shrinkToFit="1"/>
    </xf>
    <xf numFmtId="2" fontId="5" fillId="2" borderId="3" xfId="0" applyNumberFormat="1" applyFont="1" applyFill="1" applyBorder="1" applyAlignment="1">
      <alignment horizontal="center" vertical="center" shrinkToFit="1"/>
    </xf>
    <xf numFmtId="2" fontId="5" fillId="2" borderId="4" xfId="0" applyNumberFormat="1" applyFont="1" applyFill="1" applyBorder="1" applyAlignment="1">
      <alignment horizontal="center" vertical="center" shrinkToFit="1"/>
    </xf>
    <xf numFmtId="2" fontId="5" fillId="2" borderId="0" xfId="0" applyNumberFormat="1" applyFont="1" applyFill="1" applyBorder="1" applyAlignment="1">
      <alignment horizontal="center" vertical="center" shrinkToFit="1"/>
    </xf>
    <xf numFmtId="2" fontId="5" fillId="2" borderId="5" xfId="0" applyNumberFormat="1" applyFont="1" applyFill="1" applyBorder="1" applyAlignment="1">
      <alignment horizontal="center" vertical="center" shrinkToFit="1"/>
    </xf>
    <xf numFmtId="2" fontId="5" fillId="2" borderId="6" xfId="0" applyNumberFormat="1" applyFont="1" applyFill="1" applyBorder="1" applyAlignment="1">
      <alignment horizontal="center" vertical="center" shrinkToFit="1"/>
    </xf>
    <xf numFmtId="2" fontId="5" fillId="2" borderId="7" xfId="0" applyNumberFormat="1" applyFont="1" applyFill="1" applyBorder="1" applyAlignment="1">
      <alignment horizontal="center" vertical="center" shrinkToFit="1"/>
    </xf>
    <xf numFmtId="2" fontId="5" fillId="2" borderId="8" xfId="0" applyNumberFormat="1" applyFont="1" applyFill="1" applyBorder="1" applyAlignment="1">
      <alignment horizontal="center" vertical="center" shrinkToFit="1"/>
    </xf>
    <xf numFmtId="10" fontId="5" fillId="2" borderId="1" xfId="1" applyNumberFormat="1" applyFont="1" applyFill="1" applyBorder="1" applyAlignment="1">
      <alignment horizontal="center" vertical="center" shrinkToFit="1"/>
    </xf>
    <xf numFmtId="10" fontId="5" fillId="2" borderId="2" xfId="1" applyNumberFormat="1" applyFont="1" applyFill="1" applyBorder="1" applyAlignment="1">
      <alignment horizontal="center" vertical="center" shrinkToFit="1"/>
    </xf>
    <xf numFmtId="10" fontId="5" fillId="2" borderId="3" xfId="1" applyNumberFormat="1" applyFont="1" applyFill="1" applyBorder="1" applyAlignment="1">
      <alignment horizontal="center" vertical="center" shrinkToFit="1"/>
    </xf>
    <xf numFmtId="10" fontId="5" fillId="2" borderId="4" xfId="1" applyNumberFormat="1" applyFont="1" applyFill="1" applyBorder="1" applyAlignment="1">
      <alignment horizontal="center" vertical="center" shrinkToFit="1"/>
    </xf>
    <xf numFmtId="10" fontId="5" fillId="2" borderId="0" xfId="1" applyNumberFormat="1" applyFont="1" applyFill="1" applyBorder="1" applyAlignment="1">
      <alignment horizontal="center" vertical="center" shrinkToFit="1"/>
    </xf>
    <xf numFmtId="10" fontId="5" fillId="2" borderId="5" xfId="1" applyNumberFormat="1" applyFont="1" applyFill="1" applyBorder="1" applyAlignment="1">
      <alignment horizontal="center" vertical="center" shrinkToFit="1"/>
    </xf>
    <xf numFmtId="10" fontId="5" fillId="2" borderId="6" xfId="1" applyNumberFormat="1" applyFont="1" applyFill="1" applyBorder="1" applyAlignment="1">
      <alignment horizontal="center" vertical="center" shrinkToFit="1"/>
    </xf>
    <xf numFmtId="10" fontId="5" fillId="2" borderId="7" xfId="1" applyNumberFormat="1" applyFont="1" applyFill="1" applyBorder="1" applyAlignment="1">
      <alignment horizontal="center" vertical="center" shrinkToFit="1"/>
    </xf>
    <xf numFmtId="10" fontId="5" fillId="2" borderId="8" xfId="1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10" fillId="2" borderId="0" xfId="0" applyFont="1" applyFill="1" applyAlignment="1">
      <alignment horizontal="right" vertical="top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2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image" Target="../media/image1.png"/><Relationship Id="rId7" Type="http://schemas.openxmlformats.org/officeDocument/2006/relationships/image" Target="../media/image5.png"/><Relationship Id="rId2" Type="http://schemas.microsoft.com/office/2011/relationships/chartColorStyle" Target="colors1.xml"/><Relationship Id="rId1" Type="http://schemas.microsoft.com/office/2011/relationships/chartStyle" Target="style1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charts/_rels/char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image" Target="../media/image1.png"/><Relationship Id="rId7" Type="http://schemas.openxmlformats.org/officeDocument/2006/relationships/image" Target="../media/image5.png"/><Relationship Id="rId2" Type="http://schemas.microsoft.com/office/2011/relationships/chartColorStyle" Target="colors2.xml"/><Relationship Id="rId1" Type="http://schemas.microsoft.com/office/2011/relationships/chartStyle" Target="style2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Logos!$B$2</c:f>
              <c:strCache>
                <c:ptCount val="1"/>
                <c:pt idx="0">
                  <c:v>Boston Pride</c:v>
                </c:pt>
              </c:strCache>
            </c:strRef>
          </c:tx>
          <c:spPr>
            <a:blipFill>
              <a:blip xmlns:r="http://schemas.openxmlformats.org/officeDocument/2006/relationships" r:embed="rId3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24-48AC-A2E7-E4139430CC68}"/>
            </c:ext>
          </c:extLst>
        </c:ser>
        <c:ser>
          <c:idx val="1"/>
          <c:order val="1"/>
          <c:tx>
            <c:strRef>
              <c:f>Logos!$B$3</c:f>
              <c:strCache>
                <c:ptCount val="1"/>
                <c:pt idx="0">
                  <c:v>Buffalo Beauts</c:v>
                </c:pt>
              </c:strCache>
            </c:strRef>
          </c:tx>
          <c:spPr>
            <a:blipFill>
              <a:blip xmlns:r="http://schemas.openxmlformats.org/officeDocument/2006/relationships" r:embed="rId4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24-48AC-A2E7-E4139430CC68}"/>
            </c:ext>
          </c:extLst>
        </c:ser>
        <c:ser>
          <c:idx val="2"/>
          <c:order val="2"/>
          <c:tx>
            <c:strRef>
              <c:f>Logos!$B$4</c:f>
              <c:strCache>
                <c:ptCount val="1"/>
                <c:pt idx="0">
                  <c:v>Connecticut Whale</c:v>
                </c:pt>
              </c:strCache>
            </c:strRef>
          </c:tx>
          <c:spPr>
            <a:blipFill>
              <a:blip xmlns:r="http://schemas.openxmlformats.org/officeDocument/2006/relationships" r:embed="rId5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D24-48AC-A2E7-E4139430CC68}"/>
            </c:ext>
          </c:extLst>
        </c:ser>
        <c:ser>
          <c:idx val="3"/>
          <c:order val="3"/>
          <c:tx>
            <c:strRef>
              <c:f>Logos!$B$5</c:f>
              <c:strCache>
                <c:ptCount val="1"/>
                <c:pt idx="0">
                  <c:v>Metropolitan Riveters</c:v>
                </c:pt>
              </c:strCache>
            </c:strRef>
          </c:tx>
          <c:spPr>
            <a:blipFill>
              <a:blip xmlns:r="http://schemas.openxmlformats.org/officeDocument/2006/relationships" r:embed="rId6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D24-48AC-A2E7-E4139430CC68}"/>
            </c:ext>
          </c:extLst>
        </c:ser>
        <c:ser>
          <c:idx val="4"/>
          <c:order val="4"/>
          <c:tx>
            <c:strRef>
              <c:f>Logos!$B$6</c:f>
              <c:strCache>
                <c:ptCount val="1"/>
                <c:pt idx="0">
                  <c:v>Minnesota Whitecaps</c:v>
                </c:pt>
              </c:strCache>
            </c:strRef>
          </c:tx>
          <c:spPr>
            <a:blipFill>
              <a:blip xmlns:r="http://schemas.openxmlformats.org/officeDocument/2006/relationships" r:embed="rId7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D24-48AC-A2E7-E4139430CC68}"/>
            </c:ext>
          </c:extLst>
        </c:ser>
        <c:ser>
          <c:idx val="5"/>
          <c:order val="5"/>
          <c:tx>
            <c:strRef>
              <c:f>Logos!$B$7</c:f>
              <c:strCache>
                <c:ptCount val="1"/>
                <c:pt idx="0">
                  <c:v>Toronto Six</c:v>
                </c:pt>
              </c:strCache>
            </c:strRef>
          </c:tx>
          <c:spPr>
            <a:blipFill>
              <a:blip xmlns:r="http://schemas.openxmlformats.org/officeDocument/2006/relationships" r:embed="rId8"/>
              <a:stretch>
                <a:fillRect/>
              </a:stretch>
            </a:blipFill>
            <a:ln>
              <a:noFill/>
            </a:ln>
            <a:effectLst/>
          </c:spPr>
          <c:invertIfNegative val="0"/>
          <c:val>
            <c:numRef>
              <c:f>Logos!$C$7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D24-48AC-A2E7-E4139430CC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671675967"/>
        <c:axId val="671676383"/>
      </c:barChart>
      <c:catAx>
        <c:axId val="671675967"/>
        <c:scaling>
          <c:orientation val="minMax"/>
        </c:scaling>
        <c:delete val="1"/>
        <c:axPos val="b"/>
        <c:majorTickMark val="none"/>
        <c:minorTickMark val="none"/>
        <c:tickLblPos val="nextTo"/>
        <c:crossAx val="671676383"/>
        <c:crosses val="autoZero"/>
        <c:auto val="1"/>
        <c:lblAlgn val="ctr"/>
        <c:lblOffset val="100"/>
        <c:noMultiLvlLbl val="0"/>
      </c:catAx>
      <c:valAx>
        <c:axId val="671676383"/>
        <c:scaling>
          <c:orientation val="minMax"/>
          <c:max val="1"/>
        </c:scaling>
        <c:delete val="1"/>
        <c:axPos val="l"/>
        <c:numFmt formatCode="General" sourceLinked="1"/>
        <c:majorTickMark val="none"/>
        <c:minorTickMark val="none"/>
        <c:tickLblPos val="nextTo"/>
        <c:crossAx val="6716759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'Team data'!$BZ$1:$CA$1</c:f>
              <c:strCache>
                <c:ptCount val="1"/>
                <c:pt idx="0">
                  <c:v>Boston Pride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3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data'!$BZ$3</c:f>
              <c:numCache>
                <c:formatCode>0%</c:formatCode>
                <c:ptCount val="1"/>
                <c:pt idx="0">
                  <c:v>0.54632587859424919</c:v>
                </c:pt>
              </c:numCache>
            </c:numRef>
          </c:xVal>
          <c:yVal>
            <c:numRef>
              <c:f>'Team data'!$CA$3</c:f>
              <c:numCache>
                <c:formatCode>0%</c:formatCode>
                <c:ptCount val="1"/>
                <c:pt idx="0">
                  <c:v>0.59090909090909094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03-4E24-8F3C-56AC5E557AB4}"/>
            </c:ext>
          </c:extLst>
        </c:ser>
        <c:ser>
          <c:idx val="1"/>
          <c:order val="1"/>
          <c:tx>
            <c:strRef>
              <c:f>'Team data'!$CB$1:$CC$1</c:f>
              <c:strCache>
                <c:ptCount val="1"/>
                <c:pt idx="0">
                  <c:v>Buffalo Beauts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4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data'!$CB$3</c:f>
              <c:numCache>
                <c:formatCode>0%</c:formatCode>
                <c:ptCount val="1"/>
                <c:pt idx="0">
                  <c:v>0.40504201680672269</c:v>
                </c:pt>
              </c:numCache>
            </c:numRef>
          </c:xVal>
          <c:yVal>
            <c:numRef>
              <c:f>'Team data'!$CC$3</c:f>
              <c:numCache>
                <c:formatCode>0%</c:formatCode>
                <c:ptCount val="1"/>
                <c:pt idx="0">
                  <c:v>0.25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03-4E24-8F3C-56AC5E557AB4}"/>
            </c:ext>
          </c:extLst>
        </c:ser>
        <c:ser>
          <c:idx val="2"/>
          <c:order val="2"/>
          <c:tx>
            <c:strRef>
              <c:f>'Team data'!$CD$1:$CE$1</c:f>
              <c:strCache>
                <c:ptCount val="1"/>
                <c:pt idx="0">
                  <c:v>Connecticut Whale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5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data'!$CD$3</c:f>
              <c:numCache>
                <c:formatCode>0%</c:formatCode>
                <c:ptCount val="1"/>
                <c:pt idx="0">
                  <c:v>0.55958549222797926</c:v>
                </c:pt>
              </c:numCache>
            </c:numRef>
          </c:xVal>
          <c:yVal>
            <c:numRef>
              <c:f>'Team data'!$CE$3</c:f>
              <c:numCache>
                <c:formatCode>0%</c:formatCode>
                <c:ptCount val="1"/>
                <c:pt idx="0">
                  <c:v>0.46666666666666667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F03-4E24-8F3C-56AC5E557AB4}"/>
            </c:ext>
          </c:extLst>
        </c:ser>
        <c:ser>
          <c:idx val="3"/>
          <c:order val="3"/>
          <c:tx>
            <c:strRef>
              <c:f>'Team data'!$CF$1:$CG$1</c:f>
              <c:strCache>
                <c:ptCount val="1"/>
                <c:pt idx="0">
                  <c:v>Metropolitan Riveters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6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data'!$CF$3</c:f>
              <c:numCache>
                <c:formatCode>0%</c:formatCode>
                <c:ptCount val="1"/>
                <c:pt idx="0">
                  <c:v>0.40666666666666668</c:v>
                </c:pt>
              </c:numCache>
            </c:numRef>
          </c:xVal>
          <c:yVal>
            <c:numRef>
              <c:f>'Team data'!$CG$3</c:f>
              <c:numCache>
                <c:formatCode>0%</c:formatCode>
                <c:ptCount val="1"/>
                <c:pt idx="0">
                  <c:v>0.625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F03-4E24-8F3C-56AC5E557AB4}"/>
            </c:ext>
          </c:extLst>
        </c:ser>
        <c:ser>
          <c:idx val="4"/>
          <c:order val="4"/>
          <c:tx>
            <c:strRef>
              <c:f>'Team data'!$CH$1:$CI$1</c:f>
              <c:strCache>
                <c:ptCount val="1"/>
                <c:pt idx="0">
                  <c:v>Minnesota Whitecaps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7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data'!$CH$3</c:f>
              <c:numCache>
                <c:formatCode>0%</c:formatCode>
                <c:ptCount val="1"/>
                <c:pt idx="0">
                  <c:v>0.44846796657381616</c:v>
                </c:pt>
              </c:numCache>
            </c:numRef>
          </c:xVal>
          <c:yVal>
            <c:numRef>
              <c:f>'Team data'!$CI$3</c:f>
              <c:numCache>
                <c:formatCode>0%</c:formatCode>
                <c:ptCount val="1"/>
                <c:pt idx="0">
                  <c:v>0.55555555555555558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F03-4E24-8F3C-56AC5E557AB4}"/>
            </c:ext>
          </c:extLst>
        </c:ser>
        <c:ser>
          <c:idx val="5"/>
          <c:order val="5"/>
          <c:tx>
            <c:strRef>
              <c:f>'Team data'!$CJ$1:$CK$1</c:f>
              <c:strCache>
                <c:ptCount val="1"/>
                <c:pt idx="0">
                  <c:v>Toronto Six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0"/>
            <c:spPr>
              <a:blipFill>
                <a:blip xmlns:r="http://schemas.openxmlformats.org/officeDocument/2006/relationships" r:embed="rId8"/>
                <a:stretch>
                  <a:fillRect/>
                </a:stretch>
              </a:blipFill>
              <a:ln w="9525">
                <a:noFill/>
              </a:ln>
              <a:effectLst/>
            </c:spPr>
          </c:marker>
          <c:xVal>
            <c:numRef>
              <c:f>'Team data'!$CJ$3</c:f>
              <c:numCache>
                <c:formatCode>0%</c:formatCode>
                <c:ptCount val="1"/>
                <c:pt idx="0">
                  <c:v>0.5955056179775281</c:v>
                </c:pt>
              </c:numCache>
            </c:numRef>
          </c:xVal>
          <c:yVal>
            <c:numRef>
              <c:f>'Team data'!$CK$3</c:f>
              <c:numCache>
                <c:formatCode>0%</c:formatCode>
                <c:ptCount val="1"/>
                <c:pt idx="0">
                  <c:v>0.61111111111111116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F03-4E24-8F3C-56AC5E557AB4}"/>
            </c:ext>
          </c:extLst>
        </c:ser>
        <c:ser>
          <c:idx val="6"/>
          <c:order val="6"/>
          <c:tx>
            <c:v>x-axis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'Team data'!$CM$3:$CM$4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'Team data'!$CN$3:$CN$4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F03-4E24-8F3C-56AC5E557AB4}"/>
            </c:ext>
          </c:extLst>
        </c:ser>
        <c:ser>
          <c:idx val="7"/>
          <c:order val="7"/>
          <c:tx>
            <c:v>y-axis</c:v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'Team data'!$CO$3:$CO$4</c:f>
              <c:numCache>
                <c:formatCode>General</c:formatCode>
                <c:ptCount val="2"/>
                <c:pt idx="0">
                  <c:v>0.5</c:v>
                </c:pt>
                <c:pt idx="1">
                  <c:v>0.5</c:v>
                </c:pt>
              </c:numCache>
            </c:numRef>
          </c:xVal>
          <c:yVal>
            <c:numRef>
              <c:f>'Team data'!$CP$3:$CP$4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F03-4E24-8F3C-56AC5E557AB4}"/>
            </c:ext>
          </c:extLst>
        </c:ser>
        <c:ser>
          <c:idx val="8"/>
          <c:order val="8"/>
          <c:tx>
            <c:v>Line</c:v>
          </c:tx>
          <c:spPr>
            <a:ln w="254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'Team data'!$CQ$3:$CQ$4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'Team data'!$CR$3:$CR$4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F03-4E24-8F3C-56AC5E557A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7306927"/>
        <c:axId val="1647309839"/>
      </c:scatterChart>
      <c:valAx>
        <c:axId val="1647306927"/>
        <c:scaling>
          <c:orientation val="minMax"/>
          <c:max val="0.70000000000000007"/>
          <c:min val="0.3000000000000000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309839"/>
        <c:crosses val="autoZero"/>
        <c:crossBetween val="midCat"/>
      </c:valAx>
      <c:valAx>
        <c:axId val="1647309839"/>
        <c:scaling>
          <c:orientation val="minMax"/>
          <c:max val="0.8"/>
          <c:min val="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/>
                  <a:t>GF%</a:t>
                </a:r>
              </a:p>
            </c:rich>
          </c:tx>
          <c:layout>
            <c:manualLayout>
              <c:xMode val="edge"/>
              <c:yMode val="edge"/>
              <c:x val="8.4674005080440304E-3"/>
              <c:y val="0.436934935764608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306927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7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90054</xdr:colOff>
      <xdr:row>9</xdr:row>
      <xdr:rowOff>76199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D9F28CF-6AAD-4149-A32D-3E9C400EC6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127000</xdr:colOff>
      <xdr:row>55</xdr:row>
      <xdr:rowOff>0</xdr:rowOff>
    </xdr:from>
    <xdr:to>
      <xdr:col>4</xdr:col>
      <xdr:colOff>63500</xdr:colOff>
      <xdr:row>58</xdr:row>
      <xdr:rowOff>76200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1E7FC97-25BD-45C7-8BFC-35BF5CD04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8369300"/>
          <a:ext cx="546100" cy="546100"/>
        </a:xfrm>
        <a:prstGeom prst="rect">
          <a:avLst/>
        </a:prstGeom>
      </xdr:spPr>
    </xdr:pic>
    <xdr:clientData/>
  </xdr:twoCellAnchor>
  <xdr:twoCellAnchor>
    <xdr:from>
      <xdr:col>35</xdr:col>
      <xdr:colOff>120650</xdr:colOff>
      <xdr:row>14</xdr:row>
      <xdr:rowOff>88900</xdr:rowOff>
    </xdr:from>
    <xdr:to>
      <xdr:col>85</xdr:col>
      <xdr:colOff>0</xdr:colOff>
      <xdr:row>54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909E2E8-5FF6-4C29-A181-60302E2DF0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113334</xdr:rowOff>
    </xdr:from>
    <xdr:to>
      <xdr:col>1</xdr:col>
      <xdr:colOff>2700</xdr:colOff>
      <xdr:row>1</xdr:row>
      <xdr:rowOff>1146666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D996EF-7205-43D1-9214-0042A2739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96214"/>
          <a:ext cx="1252380" cy="10333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112350</xdr:rowOff>
    </xdr:from>
    <xdr:to>
      <xdr:col>1</xdr:col>
      <xdr:colOff>2700</xdr:colOff>
      <xdr:row>2</xdr:row>
      <xdr:rowOff>1147650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E813C8-7926-4834-A617-D239C98A7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567770"/>
          <a:ext cx="1252380" cy="1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108175</xdr:rowOff>
    </xdr:from>
    <xdr:to>
      <xdr:col>1</xdr:col>
      <xdr:colOff>2700</xdr:colOff>
      <xdr:row>3</xdr:row>
      <xdr:rowOff>1151825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2C1BFA-1E7D-485D-AAE2-7762C865D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836135"/>
          <a:ext cx="1252380" cy="1043650"/>
        </a:xfrm>
        <a:prstGeom prst="rect">
          <a:avLst/>
        </a:prstGeom>
      </xdr:spPr>
    </xdr:pic>
    <xdr:clientData/>
  </xdr:twoCellAnchor>
  <xdr:twoCellAnchor editAs="oneCell">
    <xdr:from>
      <xdr:col>0</xdr:col>
      <xdr:colOff>61362</xdr:colOff>
      <xdr:row>4</xdr:row>
      <xdr:rowOff>0</xdr:rowOff>
    </xdr:from>
    <xdr:to>
      <xdr:col>0</xdr:col>
      <xdr:colOff>1191017</xdr:colOff>
      <xdr:row>4</xdr:row>
      <xdr:rowOff>1260000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E36FFA0-F64C-4C53-8022-2B58BAEAC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362" y="4000500"/>
          <a:ext cx="1129655" cy="12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112350</xdr:rowOff>
    </xdr:from>
    <xdr:to>
      <xdr:col>1</xdr:col>
      <xdr:colOff>2700</xdr:colOff>
      <xdr:row>5</xdr:row>
      <xdr:rowOff>1147650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A7248A9-2835-4CFF-BAA0-B021255C0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5385390"/>
          <a:ext cx="1252380" cy="1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26604</xdr:colOff>
      <xdr:row>6</xdr:row>
      <xdr:rowOff>0</xdr:rowOff>
    </xdr:from>
    <xdr:to>
      <xdr:col>0</xdr:col>
      <xdr:colOff>1225776</xdr:colOff>
      <xdr:row>6</xdr:row>
      <xdr:rowOff>1260000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E5E2245-B65F-4EC2-9D7A-6E02294AD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604" y="6545580"/>
          <a:ext cx="1199172" cy="1260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istics\Team%20Cards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ds"/>
      <sheetName val="Team data"/>
      <sheetName val="Logos"/>
      <sheetName val="Lists"/>
    </sheetNames>
    <sheetDataSet>
      <sheetData sheetId="0">
        <row r="2">
          <cell r="J2" t="str">
            <v>CAR</v>
          </cell>
        </row>
      </sheetData>
      <sheetData sheetId="1" refreshError="1"/>
      <sheetData sheetId="2">
        <row r="2">
          <cell r="B2" t="str">
            <v>ANA</v>
          </cell>
        </row>
      </sheetData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F9F650-DBEA-447B-A716-664BBC07C0A8}" name="Table1" displayName="Table1" ref="A1:BP7" totalsRowShown="0">
  <autoFilter ref="A1:BP7" xr:uid="{D2F9F650-DBEA-447B-A716-664BBC07C0A8}"/>
  <tableColumns count="68">
    <tableColumn id="1" xr3:uid="{65A63B31-345E-407C-9A68-F67F86FFADF4}" name="Team"/>
    <tableColumn id="49" xr3:uid="{047ED358-0D71-4DC5-8F8B-F86A4178264C}" name="GP"/>
    <tableColumn id="2" xr3:uid="{213EDEBF-0427-4252-8126-B065D939F10E}" name="Team possessions"/>
    <tableColumn id="3" xr3:uid="{8D11AA80-51C8-4A3E-928F-78355273D510}" name="Player possessions"/>
    <tableColumn id="4" xr3:uid="{443845F1-B0CE-4F9A-8CFC-28133D7B0294}" name="Carry dist"/>
    <tableColumn id="5" xr3:uid="{E44D230D-79F0-4EB0-81AA-25C17054B10E}" name="Pass dist"/>
    <tableColumn id="46" xr3:uid="{191D2941-8420-449C-9620-A3E6C5BED4ED}" name="Pass/Carry" dataDxfId="20">
      <calculatedColumnFormula>Table1[[#This Row],[Pass dist]]/Table1[[#This Row],[Carry dist]]</calculatedColumnFormula>
    </tableColumn>
    <tableColumn id="6" xr3:uid="{3B62D950-ECF5-49AC-9BF8-1C883F1C1F4B}" name="Possession time"/>
    <tableColumn id="47" xr3:uid="{05581F99-B9EF-4CB6-9425-2DE4ED2898D8}" name="Avg. Poss. Time" dataDxfId="19">
      <calculatedColumnFormula>Table1[[#This Row],[Possession time]]/Table1[[#This Row],[Team possessions]]</calculatedColumnFormula>
    </tableColumn>
    <tableColumn id="48" xr3:uid="{6A57B893-569B-4D02-B76C-6A940E7A72C0}" name="Avg. player poss." dataDxfId="18">
      <calculatedColumnFormula>Table1[[#This Row],[Player possessions]]/Table1[[#This Row],[Team possessions]]</calculatedColumnFormula>
    </tableColumn>
    <tableColumn id="7" xr3:uid="{83D52FBF-CB0C-4BBD-9ED4-BA21F1DA8CC5}" name="Def time"/>
    <tableColumn id="8" xr3:uid="{B85F4CE4-E11F-4621-B57A-05E6F27DD973}" name="Neu time"/>
    <tableColumn id="9" xr3:uid="{51FAD5C0-57E3-445B-89DA-AF019FCED43D}" name="Off time"/>
    <tableColumn id="10" xr3:uid="{B41784C2-5120-4031-B89E-755FD14606C5}" name="Shot"/>
    <tableColumn id="11" xr3:uid="{CC78BF86-DFEB-4B37-B64B-F41AE6294B9D}" name="Puck Loss"/>
    <tableColumn id="12" xr3:uid="{8AC11541-6C0F-4C47-AAFC-C0998D4B766A}" name="Play"/>
    <tableColumn id="13" xr3:uid="{24828B6B-73F9-45A1-9F81-AA1E4266F11B}" name="Dump In/Out"/>
    <tableColumn id="14" xr3:uid="{68E9A149-D20F-4FBE-A6E9-F6CD8039980B}" name="Incomplete Play"/>
    <tableColumn id="15" xr3:uid="{61979500-9FC1-4200-8C9F-E3E4351FB4CF}" name="Shot assist"/>
    <tableColumn id="16" xr3:uid="{D7E83C1D-8E3D-4C7F-8AFA-2408740700AB}" name="Missed"/>
    <tableColumn id="17" xr3:uid="{432663C7-0A37-4034-BD63-EE10874506EA}" name="Blocked"/>
    <tableColumn id="18" xr3:uid="{C1ACEF0F-2912-4F06-8B0B-1A96390E5305}" name="Face Off"/>
    <tableColumn id="19" xr3:uid="{2107BBA2-8AFF-40F2-A616-6ADD456D1923}" name="Goal"/>
    <tableColumn id="20" xr3:uid="{63D56B35-3A39-4897-97A4-60D9301897BC}" name="Deflected"/>
    <tableColumn id="63" xr3:uid="{EB7575FB-7E97-419F-98B7-BC9E45EC233E}" name="Passes" dataDxfId="17">
      <calculatedColumnFormula>Table1[[#This Row],[Play]]+Table1[[#This Row],[Incomplete Play]]+Table1[[#This Row],[Shot assist]]</calculatedColumnFormula>
    </tableColumn>
    <tableColumn id="21" xr3:uid="{11CCC620-0140-493A-81F2-33D331BED533}" name="Def zone start"/>
    <tableColumn id="22" xr3:uid="{31C1004D-1DE9-4852-A8FE-3C1F4A296519}" name="Neu zone start"/>
    <tableColumn id="23" xr3:uid="{CABB5C83-B6F5-4B79-BA1C-A0E20B80F1D8}" name="Off zone start"/>
    <tableColumn id="66" xr3:uid="{FCFFCA52-4000-4F53-A01B-571873283FEF}" name="Def%" dataDxfId="16">
      <calculatedColumnFormula>Table1[[#This Row],[Def zone start]]/(Table1[[#This Row],[Def zone start]]+Table1[[#This Row],[Neu zone start]]+Table1[[#This Row],[Off zone start]])</calculatedColumnFormula>
    </tableColumn>
    <tableColumn id="67" xr3:uid="{D0DC77D3-2241-440E-BFB5-5890DCEC4F78}" name="Neu%" dataDxfId="15">
      <calculatedColumnFormula>Table1[[#This Row],[Neu zone start]]/(Table1[[#This Row],[Def zone start]]+Table1[[#This Row],[Neu zone start]]+Table1[[#This Row],[Off zone start]])</calculatedColumnFormula>
    </tableColumn>
    <tableColumn id="68" xr3:uid="{C5D7D9D5-6BA7-41C2-A9DC-32D410232C68}" name="Off%" dataDxfId="14">
      <calculatedColumnFormula>Table1[[#This Row],[Off zone start]]/(Table1[[#This Row],[Def zone start]]+Table1[[#This Row],[Neu zone start]]+Table1[[#This Row],[Off zone start]])</calculatedColumnFormula>
    </tableColumn>
    <tableColumn id="50" xr3:uid="{36F6CC3A-DF9C-413C-B103-A96A838444B7}" name="CF" dataDxfId="13">
      <calculatedColumnFormula>Table1[[#This Row],[Goal]]+Table1[[#This Row],[Blocked]]+Table1[[#This Row],[Missed]]+Table1[[#This Row],[Shot]]</calculatedColumnFormula>
    </tableColumn>
    <tableColumn id="51" xr3:uid="{59787742-352D-4430-B586-5DFECC974576}" name="FF" dataDxfId="12">
      <calculatedColumnFormula>Table1[[#This Row],[Goal]]+Table1[[#This Row],[Missed]]+Table1[[#This Row],[Shot]]</calculatedColumnFormula>
    </tableColumn>
    <tableColumn id="52" xr3:uid="{3A5CDC0E-D282-485E-A0EA-76B00B553D47}" name="SF" dataDxfId="11">
      <calculatedColumnFormula>Table1[[#This Row],[Goal]]+Table1[[#This Row],[Shot]]</calculatedColumnFormula>
    </tableColumn>
    <tableColumn id="53" xr3:uid="{B5D9BB4A-81F7-44F3-9197-01EDE7FB3CFF}" name="GF" dataDxfId="10">
      <calculatedColumnFormula>Table1[[#This Row],[Goal]]</calculatedColumnFormula>
    </tableColumn>
    <tableColumn id="54" xr3:uid="{06ADB99A-9721-4EA6-B512-153706A13DF8}" name="PassF" dataDxfId="9">
      <calculatedColumnFormula>Table1[[#This Row],[Play]]+Table1[[#This Row],[Shot assist]]</calculatedColumnFormula>
    </tableColumn>
    <tableColumn id="65" xr3:uid="{436B3838-CD89-4D07-A8F2-A0C34B37847B}" name="Shot time"/>
    <tableColumn id="24" xr3:uid="{976C0856-0BEF-426E-89DA-299AE26CAE1A}" name="O Team possessions"/>
    <tableColumn id="25" xr3:uid="{31CF8CC5-1420-48F4-8F7C-6112E37B686E}" name="O Player possessions"/>
    <tableColumn id="26" xr3:uid="{03648FA0-4ED2-4560-99C2-7BB58E27A10A}" name="O Carry dist"/>
    <tableColumn id="27" xr3:uid="{F064A0A6-F4F1-4EC3-B9D1-69D943B0BC14}" name="O Pass dist"/>
    <tableColumn id="60" xr3:uid="{E411F9E6-3226-4F66-B4D6-39D454D415E5}" name="O pass/carry" dataDxfId="8">
      <calculatedColumnFormula>Table1[[#This Row],[O Pass dist]]/Table1[[#This Row],[O Carry dist]]</calculatedColumnFormula>
    </tableColumn>
    <tableColumn id="28" xr3:uid="{BF4729D7-B6B9-4FE0-B63F-D56CA55A4C57}" name="O Possession time"/>
    <tableColumn id="61" xr3:uid="{C5583624-6AC9-47C2-8725-6CFB35D53667}" name="Avg. poss time" dataDxfId="7">
      <calculatedColumnFormula>Table1[[#This Row],[O Possession time]]/Table1[[#This Row],[O Team possessions]]</calculatedColumnFormula>
    </tableColumn>
    <tableColumn id="62" xr3:uid="{E628078F-F903-418F-9D71-C40993A09A83}" name="O Avg. player poss." dataDxfId="6">
      <calculatedColumnFormula>Table1[[#This Row],[O Player possessions]]/Table1[[#This Row],[O Team possessions]]</calculatedColumnFormula>
    </tableColumn>
    <tableColumn id="29" xr3:uid="{504EEC74-0B78-4AC6-8918-896F455B373F}" name="O Def time"/>
    <tableColumn id="30" xr3:uid="{9F09F18D-BA66-4E89-8DBD-7F88DAB80011}" name="O Neu time"/>
    <tableColumn id="31" xr3:uid="{B5AC9106-C6CA-4F31-84ED-2F0C614E3D40}" name="O Off time"/>
    <tableColumn id="32" xr3:uid="{ED5F52A9-17A8-433D-809B-D5BC921282F5}" name="O Shot"/>
    <tableColumn id="33" xr3:uid="{766EC1EE-8B71-4FBB-9BC5-688234BF7C2C}" name="O Puck Loss"/>
    <tableColumn id="34" xr3:uid="{8B662A8E-3447-4BA2-8A8D-C86C2E6BB106}" name="O Play"/>
    <tableColumn id="35" xr3:uid="{18A10DD7-31D3-4A53-B7AA-0F536FDDAE7D}" name="O Dump In/Out"/>
    <tableColumn id="36" xr3:uid="{F6EB4850-9FEF-4DB8-A82A-3CFC14D4A9D1}" name="O Incomplete Play"/>
    <tableColumn id="37" xr3:uid="{10C890CB-BA22-4216-817C-D3D0C7574D76}" name="O Shot assist"/>
    <tableColumn id="38" xr3:uid="{D2788DB3-A9D9-4733-9140-7D11B95DFFAA}" name="O Missed"/>
    <tableColumn id="39" xr3:uid="{29AD8DE3-6153-4D62-9D67-5858ADD76735}" name="O Blocked"/>
    <tableColumn id="40" xr3:uid="{2ABF3CE5-546A-43E2-AD5B-ACD0CE5677C6}" name="O Face Off"/>
    <tableColumn id="41" xr3:uid="{75A0F767-A95E-480F-A134-B5E1783A3E6F}" name="O Goal"/>
    <tableColumn id="42" xr3:uid="{8952FF8B-5FC9-4CE4-9647-0D8DEB545E0A}" name="O Deflected"/>
    <tableColumn id="64" xr3:uid="{A78DE9DA-AAF5-4F2F-92A5-E8DD2CE00090}" name="O passes" dataDxfId="5">
      <calculatedColumnFormula>Table1[[#This Row],[O Shot assist]]+Table1[[#This Row],[O Play]]+Table1[[#This Row],[O Incomplete Play]]</calculatedColumnFormula>
    </tableColumn>
    <tableColumn id="43" xr3:uid="{75B46DB9-D7CB-44EF-B458-C38CBA9EB735}" name="O Def zone start"/>
    <tableColumn id="44" xr3:uid="{38F932A0-03F1-454C-B90C-D489876CF84B}" name="O Neu zone start"/>
    <tableColumn id="45" xr3:uid="{A1AA9F6A-A477-4143-8829-A5694F2277EA}" name="O Off zone start"/>
    <tableColumn id="55" xr3:uid="{A5C9CD1F-3BF7-491C-A725-2158A4950BA1}" name="CA" dataDxfId="4">
      <calculatedColumnFormula>Table1[[#This Row],[O Goal]]+Table1[[#This Row],[O Blocked]]+Table1[[#This Row],[O Missed]]+Table1[[#This Row],[O Shot]]</calculatedColumnFormula>
    </tableColumn>
    <tableColumn id="56" xr3:uid="{0704E21C-7C99-4AB1-8A96-F1E6BA09CCB3}" name="FA" dataDxfId="3">
      <calculatedColumnFormula>Table1[[#This Row],[O Goal]]+Table1[[#This Row],[O Missed]]+Table1[[#This Row],[O Shot]]</calculatedColumnFormula>
    </tableColumn>
    <tableColumn id="57" xr3:uid="{D2660CE3-EFA0-4175-9644-80C9FF9CB9D6}" name="SA" dataDxfId="2">
      <calculatedColumnFormula>Table1[[#This Row],[O Goal]]+Table1[[#This Row],[O Shot]]</calculatedColumnFormula>
    </tableColumn>
    <tableColumn id="58" xr3:uid="{24613AA3-053D-42E1-A848-8F9722B79C7C}" name="GA" dataDxfId="1">
      <calculatedColumnFormula>Table1[[#This Row],[O Goal]]</calculatedColumnFormula>
    </tableColumn>
    <tableColumn id="59" xr3:uid="{22C6039B-51C2-4477-8578-1F53E91C6B36}" name="PassA" dataDxfId="0">
      <calculatedColumnFormula>Table1[[#This Row],[O Play]]+Table1[[#This Row],[O Shot assist]]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36C7D-B521-4A02-8695-D0DE6AC0268E}">
  <dimension ref="A1:CG104"/>
  <sheetViews>
    <sheetView showGridLines="0" tabSelected="1" zoomScale="60" zoomScaleNormal="60" workbookViewId="0">
      <selection activeCell="B48" sqref="B48:G53"/>
    </sheetView>
  </sheetViews>
  <sheetFormatPr defaultRowHeight="14.4" x14ac:dyDescent="0.3"/>
  <cols>
    <col min="1" max="85" width="2.21875" customWidth="1"/>
    <col min="86" max="102" width="8.77734375" customWidth="1"/>
  </cols>
  <sheetData>
    <row r="1" spans="1:85" ht="12.6" customHeight="1" x14ac:dyDescent="0.3">
      <c r="A1" s="19"/>
      <c r="B1" s="19"/>
      <c r="C1" s="19"/>
      <c r="D1" s="19"/>
      <c r="E1" s="19"/>
      <c r="F1" s="19"/>
      <c r="G1" s="19"/>
      <c r="H1" s="19"/>
      <c r="I1" s="1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</row>
    <row r="2" spans="1:85" ht="12.6" customHeight="1" x14ac:dyDescent="0.65">
      <c r="A2" s="19"/>
      <c r="B2" s="19"/>
      <c r="C2" s="19"/>
      <c r="D2" s="19"/>
      <c r="E2" s="19"/>
      <c r="F2" s="19"/>
      <c r="G2" s="19"/>
      <c r="H2" s="19"/>
      <c r="I2" s="19"/>
      <c r="J2" s="18" t="s">
        <v>12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Y2" s="33">
        <f>SUMIFS('Team data'!$B$2:$B$7,'Team data'!$A$2:$A$7,Cards!$J$2)</f>
        <v>6</v>
      </c>
      <c r="AZ2" s="34"/>
      <c r="BA2" s="34"/>
      <c r="BB2" s="34"/>
      <c r="BC2" s="34"/>
      <c r="BD2" s="35"/>
      <c r="BE2" s="7"/>
      <c r="BF2" s="24">
        <f>SUMIFS('Team data'!$AF$2:$AF$7,'Team data'!$A$2:$A$7,Cards!$J$2)/(SUMIFS('Team data'!$BL$2:$BL$7,'Team data'!$A$2:$A$7,Cards!$J$2)+SUMIFS('Team data'!$AF$2:$AF$7,'Team data'!$A$2:$A$7,Cards!$J$2))</f>
        <v>0.5955056179775281</v>
      </c>
      <c r="BG2" s="25"/>
      <c r="BH2" s="25"/>
      <c r="BI2" s="25"/>
      <c r="BJ2" s="25"/>
      <c r="BK2" s="26"/>
      <c r="BL2" s="8"/>
      <c r="BM2" s="24">
        <f>SUMIFS('Team data'!$AG$2:$AG$7,'Team data'!$A$2:$A$7,Cards!$J$2)/(SUMIFS('Team data'!$BM$2:$BM$7,'Team data'!$A$2:$A$7,Cards!$J$2)+SUMIFS('Team data'!$AG$2:$AG$7,'Team data'!$A$2:$A$7,Cards!$J$2))</f>
        <v>0.58399999999999996</v>
      </c>
      <c r="BN2" s="25"/>
      <c r="BO2" s="25"/>
      <c r="BP2" s="25"/>
      <c r="BQ2" s="25"/>
      <c r="BR2" s="26"/>
      <c r="BS2" s="8"/>
      <c r="BT2" s="24">
        <f>SUMIFS('Team data'!$AH$2:$AH$7,'Team data'!$A$2:$A$7,Cards!$J$2)/(SUMIFS('Team data'!$BN$2:$BN$7,'Team data'!$A$2:$A$7,Cards!$J$2)+SUMIFS('Team data'!$AH$2:$AH$7,'Team data'!$A$2:$A$7,Cards!$J$2))</f>
        <v>0.5962264150943396</v>
      </c>
      <c r="BU2" s="25"/>
      <c r="BV2" s="25"/>
      <c r="BW2" s="25"/>
      <c r="BX2" s="25"/>
      <c r="BY2" s="26"/>
      <c r="BZ2" s="8"/>
      <c r="CA2" s="24">
        <f>SUMIFS('Team data'!$AI$2:$AI$7,'Team data'!$A$2:$A$7,Cards!$J$2)/(SUMIFS('Team data'!$BO$2:$BO$7,'Team data'!$A$2:$A$7,Cards!$J$2)+SUMIFS('Team data'!$AI$2:$AI$7,'Team data'!$A$2:$A$7,Cards!$J$2))</f>
        <v>0.61111111111111116</v>
      </c>
      <c r="CB2" s="25"/>
      <c r="CC2" s="25"/>
      <c r="CD2" s="25"/>
      <c r="CE2" s="25"/>
      <c r="CF2" s="26"/>
      <c r="CG2" s="2"/>
    </row>
    <row r="3" spans="1:85" ht="12.6" customHeight="1" x14ac:dyDescent="0.65">
      <c r="A3" s="19"/>
      <c r="B3" s="19"/>
      <c r="C3" s="19"/>
      <c r="D3" s="19"/>
      <c r="E3" s="19"/>
      <c r="F3" s="19"/>
      <c r="G3" s="19"/>
      <c r="H3" s="19"/>
      <c r="I3" s="19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Y3" s="36"/>
      <c r="AZ3" s="37"/>
      <c r="BA3" s="37"/>
      <c r="BB3" s="37"/>
      <c r="BC3" s="37"/>
      <c r="BD3" s="38"/>
      <c r="BE3" s="7"/>
      <c r="BF3" s="27"/>
      <c r="BG3" s="28"/>
      <c r="BH3" s="28"/>
      <c r="BI3" s="28"/>
      <c r="BJ3" s="28"/>
      <c r="BK3" s="29"/>
      <c r="BL3" s="8"/>
      <c r="BM3" s="27"/>
      <c r="BN3" s="28"/>
      <c r="BO3" s="28"/>
      <c r="BP3" s="28"/>
      <c r="BQ3" s="28"/>
      <c r="BR3" s="29"/>
      <c r="BS3" s="8"/>
      <c r="BT3" s="27"/>
      <c r="BU3" s="28"/>
      <c r="BV3" s="28"/>
      <c r="BW3" s="28"/>
      <c r="BX3" s="28"/>
      <c r="BY3" s="29"/>
      <c r="BZ3" s="8"/>
      <c r="CA3" s="27"/>
      <c r="CB3" s="28"/>
      <c r="CC3" s="28"/>
      <c r="CD3" s="28"/>
      <c r="CE3" s="28"/>
      <c r="CF3" s="29"/>
      <c r="CG3" s="2"/>
    </row>
    <row r="4" spans="1:85" ht="12.6" customHeight="1" x14ac:dyDescent="0.65">
      <c r="A4" s="19"/>
      <c r="B4" s="19"/>
      <c r="C4" s="19"/>
      <c r="D4" s="19"/>
      <c r="E4" s="19"/>
      <c r="F4" s="19"/>
      <c r="G4" s="19"/>
      <c r="H4" s="19"/>
      <c r="I4" s="19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Y4" s="36"/>
      <c r="AZ4" s="37"/>
      <c r="BA4" s="37"/>
      <c r="BB4" s="37"/>
      <c r="BC4" s="37"/>
      <c r="BD4" s="38"/>
      <c r="BE4" s="7"/>
      <c r="BF4" s="27"/>
      <c r="BG4" s="28"/>
      <c r="BH4" s="28"/>
      <c r="BI4" s="28"/>
      <c r="BJ4" s="28"/>
      <c r="BK4" s="29"/>
      <c r="BL4" s="8"/>
      <c r="BM4" s="27"/>
      <c r="BN4" s="28"/>
      <c r="BO4" s="28"/>
      <c r="BP4" s="28"/>
      <c r="BQ4" s="28"/>
      <c r="BR4" s="29"/>
      <c r="BS4" s="8"/>
      <c r="BT4" s="27"/>
      <c r="BU4" s="28"/>
      <c r="BV4" s="28"/>
      <c r="BW4" s="28"/>
      <c r="BX4" s="28"/>
      <c r="BY4" s="29"/>
      <c r="BZ4" s="8"/>
      <c r="CA4" s="27"/>
      <c r="CB4" s="28"/>
      <c r="CC4" s="28"/>
      <c r="CD4" s="28"/>
      <c r="CE4" s="28"/>
      <c r="CF4" s="29"/>
      <c r="CG4" s="2"/>
    </row>
    <row r="5" spans="1:85" ht="12.6" customHeight="1" x14ac:dyDescent="0.65">
      <c r="A5" s="19"/>
      <c r="B5" s="19"/>
      <c r="C5" s="19"/>
      <c r="D5" s="19"/>
      <c r="E5" s="19"/>
      <c r="F5" s="19"/>
      <c r="G5" s="19"/>
      <c r="H5" s="19"/>
      <c r="I5" s="19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Y5" s="36"/>
      <c r="AZ5" s="37"/>
      <c r="BA5" s="37"/>
      <c r="BB5" s="37"/>
      <c r="BC5" s="37"/>
      <c r="BD5" s="38"/>
      <c r="BE5" s="7"/>
      <c r="BF5" s="27"/>
      <c r="BG5" s="28"/>
      <c r="BH5" s="28"/>
      <c r="BI5" s="28"/>
      <c r="BJ5" s="28"/>
      <c r="BK5" s="29"/>
      <c r="BL5" s="8"/>
      <c r="BM5" s="27"/>
      <c r="BN5" s="28"/>
      <c r="BO5" s="28"/>
      <c r="BP5" s="28"/>
      <c r="BQ5" s="28"/>
      <c r="BR5" s="29"/>
      <c r="BS5" s="8"/>
      <c r="BT5" s="27"/>
      <c r="BU5" s="28"/>
      <c r="BV5" s="28"/>
      <c r="BW5" s="28"/>
      <c r="BX5" s="28"/>
      <c r="BY5" s="29"/>
      <c r="BZ5" s="8"/>
      <c r="CA5" s="27"/>
      <c r="CB5" s="28"/>
      <c r="CC5" s="28"/>
      <c r="CD5" s="28"/>
      <c r="CE5" s="28"/>
      <c r="CF5" s="29"/>
      <c r="CG5" s="2"/>
    </row>
    <row r="6" spans="1:85" ht="12.6" customHeight="1" x14ac:dyDescent="0.65">
      <c r="A6" s="19"/>
      <c r="B6" s="19"/>
      <c r="C6" s="19"/>
      <c r="D6" s="19"/>
      <c r="E6" s="19"/>
      <c r="F6" s="19"/>
      <c r="G6" s="19"/>
      <c r="H6" s="19"/>
      <c r="I6" s="19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Y6" s="36"/>
      <c r="AZ6" s="37"/>
      <c r="BA6" s="37"/>
      <c r="BB6" s="37"/>
      <c r="BC6" s="37"/>
      <c r="BD6" s="38"/>
      <c r="BE6" s="7"/>
      <c r="BF6" s="27"/>
      <c r="BG6" s="28"/>
      <c r="BH6" s="28"/>
      <c r="BI6" s="28"/>
      <c r="BJ6" s="28"/>
      <c r="BK6" s="29"/>
      <c r="BL6" s="8"/>
      <c r="BM6" s="27"/>
      <c r="BN6" s="28"/>
      <c r="BO6" s="28"/>
      <c r="BP6" s="28"/>
      <c r="BQ6" s="28"/>
      <c r="BR6" s="29"/>
      <c r="BS6" s="8"/>
      <c r="BT6" s="27"/>
      <c r="BU6" s="28"/>
      <c r="BV6" s="28"/>
      <c r="BW6" s="28"/>
      <c r="BX6" s="28"/>
      <c r="BY6" s="29"/>
      <c r="BZ6" s="8"/>
      <c r="CA6" s="27"/>
      <c r="CB6" s="28"/>
      <c r="CC6" s="28"/>
      <c r="CD6" s="28"/>
      <c r="CE6" s="28"/>
      <c r="CF6" s="29"/>
      <c r="CG6" s="2"/>
    </row>
    <row r="7" spans="1:85" ht="12.6" customHeight="1" x14ac:dyDescent="0.65">
      <c r="A7" s="19"/>
      <c r="B7" s="19"/>
      <c r="C7" s="19"/>
      <c r="D7" s="19"/>
      <c r="E7" s="19"/>
      <c r="F7" s="19"/>
      <c r="G7" s="19"/>
      <c r="H7" s="19"/>
      <c r="I7" s="19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Y7" s="39"/>
      <c r="AZ7" s="40"/>
      <c r="BA7" s="40"/>
      <c r="BB7" s="40"/>
      <c r="BC7" s="40"/>
      <c r="BD7" s="41"/>
      <c r="BE7" s="7"/>
      <c r="BF7" s="30"/>
      <c r="BG7" s="31"/>
      <c r="BH7" s="31"/>
      <c r="BI7" s="31"/>
      <c r="BJ7" s="31"/>
      <c r="BK7" s="32"/>
      <c r="BL7" s="8"/>
      <c r="BM7" s="30"/>
      <c r="BN7" s="31"/>
      <c r="BO7" s="31"/>
      <c r="BP7" s="31"/>
      <c r="BQ7" s="31"/>
      <c r="BR7" s="32"/>
      <c r="BS7" s="8"/>
      <c r="BT7" s="30"/>
      <c r="BU7" s="31"/>
      <c r="BV7" s="31"/>
      <c r="BW7" s="31"/>
      <c r="BX7" s="31"/>
      <c r="BY7" s="32"/>
      <c r="BZ7" s="8"/>
      <c r="CA7" s="30"/>
      <c r="CB7" s="31"/>
      <c r="CC7" s="31"/>
      <c r="CD7" s="31"/>
      <c r="CE7" s="31"/>
      <c r="CF7" s="32"/>
      <c r="CG7" s="2"/>
    </row>
    <row r="8" spans="1:85" ht="12.6" customHeight="1" x14ac:dyDescent="0.3">
      <c r="A8" s="19"/>
      <c r="B8" s="19"/>
      <c r="C8" s="19"/>
      <c r="D8" s="19"/>
      <c r="E8" s="19"/>
      <c r="F8" s="19"/>
      <c r="G8" s="19"/>
      <c r="H8" s="19"/>
      <c r="I8" s="19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Y8" s="22" t="s">
        <v>1</v>
      </c>
      <c r="AZ8" s="22"/>
      <c r="BA8" s="22"/>
      <c r="BB8" s="22"/>
      <c r="BC8" s="22"/>
      <c r="BD8" s="22"/>
      <c r="BE8" s="1"/>
      <c r="BF8" s="22" t="s">
        <v>3</v>
      </c>
      <c r="BG8" s="22"/>
      <c r="BH8" s="22"/>
      <c r="BI8" s="22"/>
      <c r="BJ8" s="22"/>
      <c r="BK8" s="22"/>
      <c r="BL8" s="1"/>
      <c r="BM8" s="22" t="s">
        <v>4</v>
      </c>
      <c r="BN8" s="22"/>
      <c r="BO8" s="22"/>
      <c r="BP8" s="22"/>
      <c r="BQ8" s="22"/>
      <c r="BR8" s="22"/>
      <c r="BS8" s="1"/>
      <c r="BT8" s="22" t="s">
        <v>5</v>
      </c>
      <c r="BU8" s="22"/>
      <c r="BV8" s="22"/>
      <c r="BW8" s="22"/>
      <c r="BX8" s="22"/>
      <c r="BY8" s="22"/>
      <c r="BZ8" s="1"/>
      <c r="CA8" s="22" t="s">
        <v>6</v>
      </c>
      <c r="CB8" s="22"/>
      <c r="CC8" s="22"/>
      <c r="CD8" s="22"/>
      <c r="CE8" s="22"/>
      <c r="CF8" s="22"/>
      <c r="CG8" s="3"/>
    </row>
    <row r="9" spans="1:85" ht="7.5" customHeight="1" x14ac:dyDescent="0.3">
      <c r="A9" s="19"/>
      <c r="B9" s="19"/>
      <c r="C9" s="19"/>
      <c r="D9" s="19"/>
      <c r="E9" s="19"/>
      <c r="F9" s="19"/>
      <c r="G9" s="19"/>
      <c r="H9" s="19"/>
      <c r="I9" s="19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Y9" s="22"/>
      <c r="AZ9" s="22"/>
      <c r="BA9" s="22"/>
      <c r="BB9" s="22"/>
      <c r="BC9" s="22"/>
      <c r="BD9" s="22"/>
      <c r="BE9" s="1"/>
      <c r="BF9" s="22"/>
      <c r="BG9" s="22"/>
      <c r="BH9" s="22"/>
      <c r="BI9" s="22"/>
      <c r="BJ9" s="22"/>
      <c r="BK9" s="22"/>
      <c r="BL9" s="1"/>
      <c r="BM9" s="22"/>
      <c r="BN9" s="22"/>
      <c r="BO9" s="22"/>
      <c r="BP9" s="22"/>
      <c r="BQ9" s="22"/>
      <c r="BR9" s="22"/>
      <c r="BS9" s="1"/>
      <c r="BT9" s="22"/>
      <c r="BU9" s="22"/>
      <c r="BV9" s="22"/>
      <c r="BW9" s="22"/>
      <c r="BX9" s="22"/>
      <c r="BY9" s="22"/>
      <c r="BZ9" s="1"/>
      <c r="CA9" s="22"/>
      <c r="CB9" s="22"/>
      <c r="CC9" s="22"/>
      <c r="CD9" s="22"/>
      <c r="CE9" s="22"/>
      <c r="CF9" s="22"/>
      <c r="CG9" s="3"/>
    </row>
    <row r="10" spans="1:85" ht="7.5" customHeight="1" x14ac:dyDescent="0.3">
      <c r="A10" s="19"/>
      <c r="B10" s="19"/>
      <c r="C10" s="19"/>
      <c r="D10" s="19"/>
      <c r="E10" s="19"/>
      <c r="F10" s="19"/>
      <c r="G10" s="19"/>
      <c r="H10" s="19"/>
      <c r="I10" s="1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85" ht="12.6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85" ht="12" customHeight="1" x14ac:dyDescent="0.3">
      <c r="A12" s="1"/>
      <c r="B12" s="23" t="s">
        <v>15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K12" s="20" t="s">
        <v>96</v>
      </c>
      <c r="AL12" s="20"/>
      <c r="AM12" s="20"/>
      <c r="AN12" s="20"/>
      <c r="AO12" s="20"/>
      <c r="AP12" s="20"/>
      <c r="AQ12" s="20"/>
      <c r="AR12" s="20"/>
      <c r="AS12" s="20"/>
      <c r="AT12" s="21" t="s">
        <v>3</v>
      </c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</row>
    <row r="13" spans="1:85" ht="12" customHeight="1" x14ac:dyDescent="0.3">
      <c r="A13" s="1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K13" s="20"/>
      <c r="AL13" s="20"/>
      <c r="AM13" s="20"/>
      <c r="AN13" s="20"/>
      <c r="AO13" s="20"/>
      <c r="AP13" s="20"/>
      <c r="AQ13" s="20"/>
      <c r="AR13" s="20"/>
      <c r="AS13" s="20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</row>
    <row r="14" spans="1:85" ht="12" customHeight="1" x14ac:dyDescent="0.3">
      <c r="A14" s="1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K14" s="20"/>
      <c r="AL14" s="20"/>
      <c r="AM14" s="20"/>
      <c r="AN14" s="20"/>
      <c r="AO14" s="20"/>
      <c r="AP14" s="20"/>
      <c r="AQ14" s="20"/>
      <c r="AR14" s="20"/>
      <c r="AS14" s="20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</row>
    <row r="15" spans="1:85" ht="12" customHeight="1" x14ac:dyDescent="0.65">
      <c r="A15" s="1"/>
      <c r="B15" s="44">
        <f>SUMIFS('Team data'!$C$2:$C$7,'Team data'!$A$2:$A$7,Cards!$J$2)/Cards!$AY$2</f>
        <v>188.33333333333334</v>
      </c>
      <c r="C15" s="45"/>
      <c r="D15" s="45"/>
      <c r="E15" s="45"/>
      <c r="F15" s="45"/>
      <c r="G15" s="46"/>
      <c r="H15" s="7"/>
      <c r="I15" s="44">
        <f>SUMIFS('Team data'!$I$2:$I$7,'Team data'!$A$2:$A$7,Cards!$J$2)</f>
        <v>5.0159292035398231</v>
      </c>
      <c r="J15" s="45"/>
      <c r="K15" s="45"/>
      <c r="L15" s="45"/>
      <c r="M15" s="45"/>
      <c r="N15" s="46"/>
      <c r="O15" s="9"/>
      <c r="P15" s="24">
        <f>SUMIFS('Team data'!$H$2:$H$7,'Team data'!$A$2:$A$7,Cards!$J$2)/(SUMIFS('Team data'!$AQ$2:$AQ$7,'Team data'!$A$2:$A$7,Cards!$J$2)+SUMIFS('Team data'!$H$2:$H$7,'Team data'!$A$2:$A$7,Cards!$J$2))</f>
        <v>0.55787401574803153</v>
      </c>
      <c r="Q15" s="25"/>
      <c r="R15" s="25"/>
      <c r="S15" s="25"/>
      <c r="T15" s="25"/>
      <c r="U15" s="26"/>
      <c r="V15" s="9"/>
      <c r="W15" s="44">
        <f>SUMIFS('Team data'!$E$2:$E$7,'Team data'!$A$2:$A$7,Cards!$J$2)/SUMIFS('Team data'!$C$2:$C$7,'Team data'!$A$2:$A$7,Cards!$J$2)</f>
        <v>35.662923205921622</v>
      </c>
      <c r="X15" s="45"/>
      <c r="Y15" s="45"/>
      <c r="Z15" s="45"/>
      <c r="AA15" s="45"/>
      <c r="AB15" s="46"/>
      <c r="AC15" s="1"/>
      <c r="AD15" s="54">
        <f>SUMIFS('Team data'!$D$2:$D$7,'Team data'!$A$2:$A$7,Cards!$J$2)/SUMIFS('Team data'!$C$2:$C$7,'Team data'!$A$2:$A$7,Cards!$J$2)</f>
        <v>2.2787610619469025</v>
      </c>
      <c r="AE15" s="55"/>
      <c r="AF15" s="55"/>
      <c r="AG15" s="55"/>
      <c r="AH15" s="55"/>
      <c r="AI15" s="56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</row>
    <row r="16" spans="1:85" ht="12" customHeight="1" x14ac:dyDescent="0.65">
      <c r="A16" s="1"/>
      <c r="B16" s="47"/>
      <c r="C16" s="48"/>
      <c r="D16" s="48"/>
      <c r="E16" s="48"/>
      <c r="F16" s="48"/>
      <c r="G16" s="49"/>
      <c r="H16" s="7"/>
      <c r="I16" s="47"/>
      <c r="J16" s="48"/>
      <c r="K16" s="48"/>
      <c r="L16" s="48"/>
      <c r="M16" s="48"/>
      <c r="N16" s="49"/>
      <c r="O16" s="9"/>
      <c r="P16" s="27"/>
      <c r="Q16" s="53"/>
      <c r="R16" s="53"/>
      <c r="S16" s="53"/>
      <c r="T16" s="53"/>
      <c r="U16" s="29"/>
      <c r="V16" s="9"/>
      <c r="W16" s="47"/>
      <c r="X16" s="48"/>
      <c r="Y16" s="48"/>
      <c r="Z16" s="48"/>
      <c r="AA16" s="48"/>
      <c r="AB16" s="49"/>
      <c r="AC16" s="1"/>
      <c r="AD16" s="57"/>
      <c r="AE16" s="58"/>
      <c r="AF16" s="58"/>
      <c r="AG16" s="58"/>
      <c r="AH16" s="58"/>
      <c r="AI16" s="59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4"/>
    </row>
    <row r="17" spans="1:85" ht="12" customHeight="1" x14ac:dyDescent="0.65">
      <c r="A17" s="1"/>
      <c r="B17" s="47"/>
      <c r="C17" s="48"/>
      <c r="D17" s="48"/>
      <c r="E17" s="48"/>
      <c r="F17" s="48"/>
      <c r="G17" s="49"/>
      <c r="H17" s="7"/>
      <c r="I17" s="47"/>
      <c r="J17" s="48"/>
      <c r="K17" s="48"/>
      <c r="L17" s="48"/>
      <c r="M17" s="48"/>
      <c r="N17" s="49"/>
      <c r="O17" s="9"/>
      <c r="P17" s="27"/>
      <c r="Q17" s="53"/>
      <c r="R17" s="53"/>
      <c r="S17" s="53"/>
      <c r="T17" s="53"/>
      <c r="U17" s="29"/>
      <c r="V17" s="9"/>
      <c r="W17" s="47"/>
      <c r="X17" s="48"/>
      <c r="Y17" s="48"/>
      <c r="Z17" s="48"/>
      <c r="AA17" s="48"/>
      <c r="AB17" s="49"/>
      <c r="AC17" s="1"/>
      <c r="AD17" s="57"/>
      <c r="AE17" s="58"/>
      <c r="AF17" s="58"/>
      <c r="AG17" s="58"/>
      <c r="AH17" s="58"/>
      <c r="AI17" s="59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2"/>
    </row>
    <row r="18" spans="1:85" ht="12" customHeight="1" x14ac:dyDescent="0.65">
      <c r="A18" s="1"/>
      <c r="B18" s="47"/>
      <c r="C18" s="48"/>
      <c r="D18" s="48"/>
      <c r="E18" s="48"/>
      <c r="F18" s="48"/>
      <c r="G18" s="49"/>
      <c r="H18" s="7"/>
      <c r="I18" s="47"/>
      <c r="J18" s="48"/>
      <c r="K18" s="48"/>
      <c r="L18" s="48"/>
      <c r="M18" s="48"/>
      <c r="N18" s="49"/>
      <c r="O18" s="9"/>
      <c r="P18" s="27"/>
      <c r="Q18" s="53"/>
      <c r="R18" s="53"/>
      <c r="S18" s="53"/>
      <c r="T18" s="53"/>
      <c r="U18" s="29"/>
      <c r="V18" s="9"/>
      <c r="W18" s="47"/>
      <c r="X18" s="48"/>
      <c r="Y18" s="48"/>
      <c r="Z18" s="48"/>
      <c r="AA18" s="48"/>
      <c r="AB18" s="49"/>
      <c r="AC18" s="1"/>
      <c r="AD18" s="57"/>
      <c r="AE18" s="58"/>
      <c r="AF18" s="58"/>
      <c r="AG18" s="58"/>
      <c r="AH18" s="58"/>
      <c r="AI18" s="59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2"/>
    </row>
    <row r="19" spans="1:85" ht="12" customHeight="1" x14ac:dyDescent="0.65">
      <c r="A19" s="1"/>
      <c r="B19" s="47"/>
      <c r="C19" s="48"/>
      <c r="D19" s="48"/>
      <c r="E19" s="48"/>
      <c r="F19" s="48"/>
      <c r="G19" s="49"/>
      <c r="H19" s="7"/>
      <c r="I19" s="47"/>
      <c r="J19" s="48"/>
      <c r="K19" s="48"/>
      <c r="L19" s="48"/>
      <c r="M19" s="48"/>
      <c r="N19" s="49"/>
      <c r="O19" s="9"/>
      <c r="P19" s="27"/>
      <c r="Q19" s="53"/>
      <c r="R19" s="53"/>
      <c r="S19" s="53"/>
      <c r="T19" s="53"/>
      <c r="U19" s="29"/>
      <c r="V19" s="9"/>
      <c r="W19" s="47"/>
      <c r="X19" s="48"/>
      <c r="Y19" s="48"/>
      <c r="Z19" s="48"/>
      <c r="AA19" s="48"/>
      <c r="AB19" s="49"/>
      <c r="AC19" s="1"/>
      <c r="AD19" s="57"/>
      <c r="AE19" s="58"/>
      <c r="AF19" s="58"/>
      <c r="AG19" s="58"/>
      <c r="AH19" s="58"/>
      <c r="AI19" s="59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2"/>
    </row>
    <row r="20" spans="1:85" ht="12" customHeight="1" x14ac:dyDescent="0.65">
      <c r="A20" s="1"/>
      <c r="B20" s="50"/>
      <c r="C20" s="51"/>
      <c r="D20" s="51"/>
      <c r="E20" s="51"/>
      <c r="F20" s="51"/>
      <c r="G20" s="52"/>
      <c r="H20" s="7"/>
      <c r="I20" s="50"/>
      <c r="J20" s="51"/>
      <c r="K20" s="51"/>
      <c r="L20" s="51"/>
      <c r="M20" s="51"/>
      <c r="N20" s="52"/>
      <c r="O20" s="9"/>
      <c r="P20" s="30"/>
      <c r="Q20" s="31"/>
      <c r="R20" s="31"/>
      <c r="S20" s="31"/>
      <c r="T20" s="31"/>
      <c r="U20" s="32"/>
      <c r="V20" s="9"/>
      <c r="W20" s="50"/>
      <c r="X20" s="51"/>
      <c r="Y20" s="51"/>
      <c r="Z20" s="51"/>
      <c r="AA20" s="51"/>
      <c r="AB20" s="52"/>
      <c r="AC20" s="1"/>
      <c r="AD20" s="60"/>
      <c r="AE20" s="61"/>
      <c r="AF20" s="61"/>
      <c r="AG20" s="61"/>
      <c r="AH20" s="61"/>
      <c r="AI20" s="62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2"/>
    </row>
    <row r="21" spans="1:85" ht="12" customHeight="1" x14ac:dyDescent="0.4">
      <c r="A21" s="1"/>
      <c r="B21" s="42" t="s">
        <v>13</v>
      </c>
      <c r="C21" s="42"/>
      <c r="D21" s="42"/>
      <c r="E21" s="42"/>
      <c r="F21" s="42"/>
      <c r="G21" s="42"/>
      <c r="H21" s="10"/>
      <c r="I21" s="42" t="s">
        <v>14</v>
      </c>
      <c r="J21" s="42"/>
      <c r="K21" s="42"/>
      <c r="L21" s="42"/>
      <c r="M21" s="42"/>
      <c r="N21" s="42"/>
      <c r="O21" s="10"/>
      <c r="P21" s="42" t="s">
        <v>16</v>
      </c>
      <c r="Q21" s="42"/>
      <c r="R21" s="42"/>
      <c r="S21" s="42"/>
      <c r="T21" s="42"/>
      <c r="U21" s="42"/>
      <c r="V21" s="10"/>
      <c r="W21" s="42" t="s">
        <v>17</v>
      </c>
      <c r="X21" s="42"/>
      <c r="Y21" s="42"/>
      <c r="Z21" s="42"/>
      <c r="AA21" s="42"/>
      <c r="AB21" s="42"/>
      <c r="AC21" s="43" t="s">
        <v>18</v>
      </c>
      <c r="AD21" s="43"/>
      <c r="AE21" s="43"/>
      <c r="AF21" s="43"/>
      <c r="AG21" s="43"/>
      <c r="AH21" s="43"/>
      <c r="AI21" s="43"/>
      <c r="AJ21" s="43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2"/>
    </row>
    <row r="22" spans="1:85" ht="12" customHeight="1" x14ac:dyDescent="0.4">
      <c r="A22" s="1"/>
      <c r="B22" s="43"/>
      <c r="C22" s="43"/>
      <c r="D22" s="43"/>
      <c r="E22" s="43"/>
      <c r="F22" s="43"/>
      <c r="G22" s="43"/>
      <c r="H22" s="10"/>
      <c r="I22" s="43"/>
      <c r="J22" s="43"/>
      <c r="K22" s="43"/>
      <c r="L22" s="43"/>
      <c r="M22" s="43"/>
      <c r="N22" s="43"/>
      <c r="O22" s="10"/>
      <c r="P22" s="43"/>
      <c r="Q22" s="43"/>
      <c r="R22" s="43"/>
      <c r="S22" s="43"/>
      <c r="T22" s="43"/>
      <c r="U22" s="43"/>
      <c r="V22" s="10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2"/>
    </row>
    <row r="23" spans="1:85" ht="12" customHeight="1" x14ac:dyDescent="0.3">
      <c r="A23" s="1"/>
      <c r="B23" s="23" t="s">
        <v>19</v>
      </c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2"/>
    </row>
    <row r="24" spans="1:85" ht="12" customHeight="1" x14ac:dyDescent="0.3">
      <c r="A24" s="1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2"/>
    </row>
    <row r="25" spans="1:85" ht="12" customHeight="1" x14ac:dyDescent="0.3">
      <c r="A25" s="1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2"/>
    </row>
    <row r="26" spans="1:85" ht="12" customHeight="1" x14ac:dyDescent="0.65">
      <c r="A26" s="1"/>
      <c r="B26" s="44">
        <f>SUMIFS('Team data'!$Y$2:$Y$7,'Team data'!$A$2:$A$7,Cards!$J$2)/$AY$2</f>
        <v>274.5</v>
      </c>
      <c r="C26" s="45"/>
      <c r="D26" s="45"/>
      <c r="E26" s="45"/>
      <c r="F26" s="45"/>
      <c r="G26" s="46"/>
      <c r="H26" s="7"/>
      <c r="I26" s="24">
        <f>SUMIFS('Team data'!$AJ$2:$AJ$7,'Team data'!$A$2:$A$7,Cards!$J$2)/SUMIFS('Team data'!$Y$2:$Y$7,'Team data'!$A$2:$A$7,Cards!$J$2)</f>
        <v>0.65270188221007897</v>
      </c>
      <c r="J26" s="25"/>
      <c r="K26" s="25"/>
      <c r="L26" s="25"/>
      <c r="M26" s="25"/>
      <c r="N26" s="26"/>
      <c r="O26" s="9"/>
      <c r="P26" s="24">
        <f>SUMIFS('Team data'!$AJ$2:$AJ$7,'Team data'!$A$2:$A$7,Cards!$J$2)/(SUMIFS('Team data'!$BP$2:$BP$7,'Team data'!$A$2:$A$7,Cards!$J$2)+SUMIFS('Team data'!$AJ$2:$AJ$7,'Team data'!$A$2:$A$7,Cards!$J$2))</f>
        <v>0.53482587064676612</v>
      </c>
      <c r="Q26" s="25"/>
      <c r="R26" s="25"/>
      <c r="S26" s="25"/>
      <c r="T26" s="25"/>
      <c r="U26" s="26"/>
      <c r="V26" s="9"/>
      <c r="W26" s="44">
        <f>SUMIFS('Team data'!$F$2:$F$7,'Team data'!$A$2:$A$7,Cards!$J$2)/SUMIFS('Team data'!$C$2:$C$7,'Team data'!$A$2:$A$7,Cards!$J$2)</f>
        <v>51.447054027095589</v>
      </c>
      <c r="X26" s="45"/>
      <c r="Y26" s="45"/>
      <c r="Z26" s="45"/>
      <c r="AA26" s="45"/>
      <c r="AB26" s="46"/>
      <c r="AC26" s="1"/>
      <c r="AD26" s="54">
        <f>W26/W15</f>
        <v>1.442592177035928</v>
      </c>
      <c r="AE26" s="55"/>
      <c r="AF26" s="55"/>
      <c r="AG26" s="55"/>
      <c r="AH26" s="55"/>
      <c r="AI26" s="56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2"/>
    </row>
    <row r="27" spans="1:85" ht="12" customHeight="1" x14ac:dyDescent="0.65">
      <c r="A27" s="1"/>
      <c r="B27" s="47"/>
      <c r="C27" s="48"/>
      <c r="D27" s="48"/>
      <c r="E27" s="48"/>
      <c r="F27" s="48"/>
      <c r="G27" s="49"/>
      <c r="H27" s="7"/>
      <c r="I27" s="27"/>
      <c r="J27" s="53"/>
      <c r="K27" s="53"/>
      <c r="L27" s="53"/>
      <c r="M27" s="53"/>
      <c r="N27" s="29"/>
      <c r="O27" s="9"/>
      <c r="P27" s="27"/>
      <c r="Q27" s="53"/>
      <c r="R27" s="53"/>
      <c r="S27" s="53"/>
      <c r="T27" s="53"/>
      <c r="U27" s="29"/>
      <c r="V27" s="9"/>
      <c r="W27" s="47"/>
      <c r="X27" s="48"/>
      <c r="Y27" s="48"/>
      <c r="Z27" s="48"/>
      <c r="AA27" s="48"/>
      <c r="AB27" s="49"/>
      <c r="AC27" s="1"/>
      <c r="AD27" s="57"/>
      <c r="AE27" s="58"/>
      <c r="AF27" s="58"/>
      <c r="AG27" s="58"/>
      <c r="AH27" s="58"/>
      <c r="AI27" s="59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2"/>
    </row>
    <row r="28" spans="1:85" ht="12" customHeight="1" x14ac:dyDescent="0.65">
      <c r="A28" s="1"/>
      <c r="B28" s="47"/>
      <c r="C28" s="48"/>
      <c r="D28" s="48"/>
      <c r="E28" s="48"/>
      <c r="F28" s="48"/>
      <c r="G28" s="49"/>
      <c r="H28" s="7"/>
      <c r="I28" s="27"/>
      <c r="J28" s="53"/>
      <c r="K28" s="53"/>
      <c r="L28" s="53"/>
      <c r="M28" s="53"/>
      <c r="N28" s="29"/>
      <c r="O28" s="9"/>
      <c r="P28" s="27"/>
      <c r="Q28" s="53"/>
      <c r="R28" s="53"/>
      <c r="S28" s="53"/>
      <c r="T28" s="53"/>
      <c r="U28" s="29"/>
      <c r="V28" s="9"/>
      <c r="W28" s="47"/>
      <c r="X28" s="48"/>
      <c r="Y28" s="48"/>
      <c r="Z28" s="48"/>
      <c r="AA28" s="48"/>
      <c r="AB28" s="49"/>
      <c r="AC28" s="1"/>
      <c r="AD28" s="57"/>
      <c r="AE28" s="58"/>
      <c r="AF28" s="58"/>
      <c r="AG28" s="58"/>
      <c r="AH28" s="58"/>
      <c r="AI28" s="59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2"/>
    </row>
    <row r="29" spans="1:85" ht="12" customHeight="1" x14ac:dyDescent="0.65">
      <c r="A29" s="1"/>
      <c r="B29" s="47"/>
      <c r="C29" s="48"/>
      <c r="D29" s="48"/>
      <c r="E29" s="48"/>
      <c r="F29" s="48"/>
      <c r="G29" s="49"/>
      <c r="H29" s="7"/>
      <c r="I29" s="27"/>
      <c r="J29" s="53"/>
      <c r="K29" s="53"/>
      <c r="L29" s="53"/>
      <c r="M29" s="53"/>
      <c r="N29" s="29"/>
      <c r="O29" s="9"/>
      <c r="P29" s="27"/>
      <c r="Q29" s="53"/>
      <c r="R29" s="53"/>
      <c r="S29" s="53"/>
      <c r="T29" s="53"/>
      <c r="U29" s="29"/>
      <c r="V29" s="9"/>
      <c r="W29" s="47"/>
      <c r="X29" s="48"/>
      <c r="Y29" s="48"/>
      <c r="Z29" s="48"/>
      <c r="AA29" s="48"/>
      <c r="AB29" s="49"/>
      <c r="AC29" s="1"/>
      <c r="AD29" s="57"/>
      <c r="AE29" s="58"/>
      <c r="AF29" s="58"/>
      <c r="AG29" s="58"/>
      <c r="AH29" s="58"/>
      <c r="AI29" s="59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2"/>
    </row>
    <row r="30" spans="1:85" ht="12" customHeight="1" x14ac:dyDescent="0.65">
      <c r="A30" s="1"/>
      <c r="B30" s="47"/>
      <c r="C30" s="48"/>
      <c r="D30" s="48"/>
      <c r="E30" s="48"/>
      <c r="F30" s="48"/>
      <c r="G30" s="49"/>
      <c r="H30" s="7"/>
      <c r="I30" s="27"/>
      <c r="J30" s="53"/>
      <c r="K30" s="53"/>
      <c r="L30" s="53"/>
      <c r="M30" s="53"/>
      <c r="N30" s="29"/>
      <c r="O30" s="9"/>
      <c r="P30" s="27"/>
      <c r="Q30" s="53"/>
      <c r="R30" s="53"/>
      <c r="S30" s="53"/>
      <c r="T30" s="53"/>
      <c r="U30" s="29"/>
      <c r="V30" s="9"/>
      <c r="W30" s="47"/>
      <c r="X30" s="48"/>
      <c r="Y30" s="48"/>
      <c r="Z30" s="48"/>
      <c r="AA30" s="48"/>
      <c r="AB30" s="49"/>
      <c r="AC30" s="1"/>
      <c r="AD30" s="57"/>
      <c r="AE30" s="58"/>
      <c r="AF30" s="58"/>
      <c r="AG30" s="58"/>
      <c r="AH30" s="58"/>
      <c r="AI30" s="59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2"/>
    </row>
    <row r="31" spans="1:85" ht="12" customHeight="1" x14ac:dyDescent="0.65">
      <c r="A31" s="1"/>
      <c r="B31" s="50"/>
      <c r="C31" s="51"/>
      <c r="D31" s="51"/>
      <c r="E31" s="51"/>
      <c r="F31" s="51"/>
      <c r="G31" s="52"/>
      <c r="H31" s="7"/>
      <c r="I31" s="30"/>
      <c r="J31" s="31"/>
      <c r="K31" s="31"/>
      <c r="L31" s="31"/>
      <c r="M31" s="31"/>
      <c r="N31" s="32"/>
      <c r="O31" s="9"/>
      <c r="P31" s="30"/>
      <c r="Q31" s="31"/>
      <c r="R31" s="31"/>
      <c r="S31" s="31"/>
      <c r="T31" s="31"/>
      <c r="U31" s="32"/>
      <c r="V31" s="9"/>
      <c r="W31" s="50"/>
      <c r="X31" s="51"/>
      <c r="Y31" s="51"/>
      <c r="Z31" s="51"/>
      <c r="AA31" s="51"/>
      <c r="AB31" s="52"/>
      <c r="AC31" s="1"/>
      <c r="AD31" s="60"/>
      <c r="AE31" s="61"/>
      <c r="AF31" s="61"/>
      <c r="AG31" s="61"/>
      <c r="AH31" s="61"/>
      <c r="AI31" s="62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2"/>
    </row>
    <row r="32" spans="1:85" ht="12" customHeight="1" x14ac:dyDescent="0.4">
      <c r="A32" s="1"/>
      <c r="B32" s="42" t="s">
        <v>95</v>
      </c>
      <c r="C32" s="42"/>
      <c r="D32" s="42"/>
      <c r="E32" s="42"/>
      <c r="F32" s="42"/>
      <c r="G32" s="42"/>
      <c r="H32" s="43" t="s">
        <v>20</v>
      </c>
      <c r="I32" s="43"/>
      <c r="J32" s="43"/>
      <c r="K32" s="43"/>
      <c r="L32" s="43"/>
      <c r="M32" s="43"/>
      <c r="N32" s="43"/>
      <c r="O32" s="43"/>
      <c r="P32" s="42" t="s">
        <v>21</v>
      </c>
      <c r="Q32" s="42"/>
      <c r="R32" s="42"/>
      <c r="S32" s="42"/>
      <c r="T32" s="42"/>
      <c r="U32" s="42"/>
      <c r="V32" s="10"/>
      <c r="W32" s="42" t="s">
        <v>22</v>
      </c>
      <c r="X32" s="42"/>
      <c r="Y32" s="42"/>
      <c r="Z32" s="42"/>
      <c r="AA32" s="42"/>
      <c r="AB32" s="42"/>
      <c r="AC32" s="43" t="s">
        <v>23</v>
      </c>
      <c r="AD32" s="43"/>
      <c r="AE32" s="43"/>
      <c r="AF32" s="43"/>
      <c r="AG32" s="43"/>
      <c r="AH32" s="43"/>
      <c r="AI32" s="43"/>
      <c r="AJ32" s="43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2"/>
    </row>
    <row r="33" spans="1:85" ht="12" customHeight="1" x14ac:dyDescent="0.4">
      <c r="A33" s="1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10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2"/>
    </row>
    <row r="34" spans="1:85" ht="12" customHeight="1" x14ac:dyDescent="0.3">
      <c r="A34" s="1"/>
      <c r="B34" s="23" t="s">
        <v>24</v>
      </c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2"/>
    </row>
    <row r="35" spans="1:85" ht="12" customHeight="1" x14ac:dyDescent="0.3">
      <c r="A35" s="1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2"/>
    </row>
    <row r="36" spans="1:85" ht="12" customHeight="1" x14ac:dyDescent="0.3">
      <c r="A36" s="1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2"/>
    </row>
    <row r="37" spans="1:85" ht="12" customHeight="1" x14ac:dyDescent="0.65">
      <c r="A37" s="1"/>
      <c r="B37" s="44">
        <f>SUMIFS('Team data'!$AF$2:$AF$7,'Team data'!$A$2:$A$7,Cards!$J$2)/Cards!$AY$2</f>
        <v>53</v>
      </c>
      <c r="C37" s="45"/>
      <c r="D37" s="45"/>
      <c r="E37" s="45"/>
      <c r="F37" s="45"/>
      <c r="G37" s="46"/>
      <c r="H37" s="7"/>
      <c r="I37" s="63">
        <f>SUMIFS('Team data'!$AI$2:$AI$7,'Team data'!$A$2:$A$7,Cards!$J$2)/SUMIFS('Team data'!$AF$2:$AF$7,'Team data'!$A$2:$A$7,Cards!$J$2)</f>
        <v>3.4591194968553458E-2</v>
      </c>
      <c r="J37" s="64"/>
      <c r="K37" s="64"/>
      <c r="L37" s="64"/>
      <c r="M37" s="64"/>
      <c r="N37" s="65"/>
      <c r="O37" s="9"/>
      <c r="P37" s="24">
        <f>BF2</f>
        <v>0.5955056179775281</v>
      </c>
      <c r="Q37" s="25"/>
      <c r="R37" s="25"/>
      <c r="S37" s="25"/>
      <c r="T37" s="25"/>
      <c r="U37" s="26"/>
      <c r="V37" s="16"/>
      <c r="W37" s="24">
        <f>CA2</f>
        <v>0.61111111111111116</v>
      </c>
      <c r="X37" s="25"/>
      <c r="Y37" s="25"/>
      <c r="Z37" s="25"/>
      <c r="AA37" s="25"/>
      <c r="AB37" s="26"/>
      <c r="AC37" s="1"/>
      <c r="AD37" s="54">
        <f>SUMIFS('Team data'!$AK$2:$AK$7,'Team data'!$A$2:$A$7,Cards!$J$2)</f>
        <v>2.1226415094339623</v>
      </c>
      <c r="AE37" s="55"/>
      <c r="AF37" s="55"/>
      <c r="AG37" s="55"/>
      <c r="AH37" s="55"/>
      <c r="AI37" s="56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2"/>
    </row>
    <row r="38" spans="1:85" ht="12" customHeight="1" x14ac:dyDescent="0.65">
      <c r="A38" s="1"/>
      <c r="B38" s="47"/>
      <c r="C38" s="48"/>
      <c r="D38" s="48"/>
      <c r="E38" s="48"/>
      <c r="F38" s="48"/>
      <c r="G38" s="49"/>
      <c r="H38" s="7"/>
      <c r="I38" s="66"/>
      <c r="J38" s="67"/>
      <c r="K38" s="67"/>
      <c r="L38" s="67"/>
      <c r="M38" s="67"/>
      <c r="N38" s="68"/>
      <c r="O38" s="9"/>
      <c r="P38" s="27"/>
      <c r="Q38" s="53"/>
      <c r="R38" s="53"/>
      <c r="S38" s="53"/>
      <c r="T38" s="53"/>
      <c r="U38" s="29"/>
      <c r="V38" s="16"/>
      <c r="W38" s="27"/>
      <c r="X38" s="53"/>
      <c r="Y38" s="53"/>
      <c r="Z38" s="53"/>
      <c r="AA38" s="53"/>
      <c r="AB38" s="29"/>
      <c r="AC38" s="1"/>
      <c r="AD38" s="57"/>
      <c r="AE38" s="58"/>
      <c r="AF38" s="58"/>
      <c r="AG38" s="58"/>
      <c r="AH38" s="58"/>
      <c r="AI38" s="59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2"/>
    </row>
    <row r="39" spans="1:85" ht="12" customHeight="1" x14ac:dyDescent="0.65">
      <c r="A39" s="1"/>
      <c r="B39" s="47"/>
      <c r="C39" s="48"/>
      <c r="D39" s="48"/>
      <c r="E39" s="48"/>
      <c r="F39" s="48"/>
      <c r="G39" s="49"/>
      <c r="H39" s="7"/>
      <c r="I39" s="66"/>
      <c r="J39" s="67"/>
      <c r="K39" s="67"/>
      <c r="L39" s="67"/>
      <c r="M39" s="67"/>
      <c r="N39" s="68"/>
      <c r="O39" s="9"/>
      <c r="P39" s="27"/>
      <c r="Q39" s="53"/>
      <c r="R39" s="53"/>
      <c r="S39" s="53"/>
      <c r="T39" s="53"/>
      <c r="U39" s="29"/>
      <c r="V39" s="16"/>
      <c r="W39" s="27"/>
      <c r="X39" s="53"/>
      <c r="Y39" s="53"/>
      <c r="Z39" s="53"/>
      <c r="AA39" s="53"/>
      <c r="AB39" s="29"/>
      <c r="AC39" s="1"/>
      <c r="AD39" s="57"/>
      <c r="AE39" s="58"/>
      <c r="AF39" s="58"/>
      <c r="AG39" s="58"/>
      <c r="AH39" s="58"/>
      <c r="AI39" s="59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2"/>
    </row>
    <row r="40" spans="1:85" ht="12" customHeight="1" x14ac:dyDescent="0.65">
      <c r="A40" s="1"/>
      <c r="B40" s="47"/>
      <c r="C40" s="48"/>
      <c r="D40" s="48"/>
      <c r="E40" s="48"/>
      <c r="F40" s="48"/>
      <c r="G40" s="49"/>
      <c r="H40" s="7"/>
      <c r="I40" s="66"/>
      <c r="J40" s="67"/>
      <c r="K40" s="67"/>
      <c r="L40" s="67"/>
      <c r="M40" s="67"/>
      <c r="N40" s="68"/>
      <c r="O40" s="9"/>
      <c r="P40" s="27"/>
      <c r="Q40" s="53"/>
      <c r="R40" s="53"/>
      <c r="S40" s="53"/>
      <c r="T40" s="53"/>
      <c r="U40" s="29"/>
      <c r="V40" s="16"/>
      <c r="W40" s="27"/>
      <c r="X40" s="53"/>
      <c r="Y40" s="53"/>
      <c r="Z40" s="53"/>
      <c r="AA40" s="53"/>
      <c r="AB40" s="29"/>
      <c r="AC40" s="1"/>
      <c r="AD40" s="57"/>
      <c r="AE40" s="58"/>
      <c r="AF40" s="58"/>
      <c r="AG40" s="58"/>
      <c r="AH40" s="58"/>
      <c r="AI40" s="59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2"/>
    </row>
    <row r="41" spans="1:85" ht="12" customHeight="1" x14ac:dyDescent="0.65">
      <c r="A41" s="1"/>
      <c r="B41" s="47"/>
      <c r="C41" s="48"/>
      <c r="D41" s="48"/>
      <c r="E41" s="48"/>
      <c r="F41" s="48"/>
      <c r="G41" s="49"/>
      <c r="H41" s="7"/>
      <c r="I41" s="66"/>
      <c r="J41" s="67"/>
      <c r="K41" s="67"/>
      <c r="L41" s="67"/>
      <c r="M41" s="67"/>
      <c r="N41" s="68"/>
      <c r="O41" s="9"/>
      <c r="P41" s="27"/>
      <c r="Q41" s="53"/>
      <c r="R41" s="53"/>
      <c r="S41" s="53"/>
      <c r="T41" s="53"/>
      <c r="U41" s="29"/>
      <c r="V41" s="16"/>
      <c r="W41" s="27"/>
      <c r="X41" s="53"/>
      <c r="Y41" s="53"/>
      <c r="Z41" s="53"/>
      <c r="AA41" s="53"/>
      <c r="AB41" s="29"/>
      <c r="AC41" s="1"/>
      <c r="AD41" s="57"/>
      <c r="AE41" s="58"/>
      <c r="AF41" s="58"/>
      <c r="AG41" s="58"/>
      <c r="AH41" s="58"/>
      <c r="AI41" s="59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2"/>
    </row>
    <row r="42" spans="1:85" ht="12" customHeight="1" x14ac:dyDescent="0.65">
      <c r="A42" s="1"/>
      <c r="B42" s="50"/>
      <c r="C42" s="51"/>
      <c r="D42" s="51"/>
      <c r="E42" s="51"/>
      <c r="F42" s="51"/>
      <c r="G42" s="52"/>
      <c r="H42" s="7"/>
      <c r="I42" s="69"/>
      <c r="J42" s="70"/>
      <c r="K42" s="70"/>
      <c r="L42" s="70"/>
      <c r="M42" s="70"/>
      <c r="N42" s="71"/>
      <c r="O42" s="9"/>
      <c r="P42" s="30"/>
      <c r="Q42" s="31"/>
      <c r="R42" s="31"/>
      <c r="S42" s="31"/>
      <c r="T42" s="31"/>
      <c r="U42" s="32"/>
      <c r="V42" s="16"/>
      <c r="W42" s="30"/>
      <c r="X42" s="31"/>
      <c r="Y42" s="31"/>
      <c r="Z42" s="31"/>
      <c r="AA42" s="31"/>
      <c r="AB42" s="32"/>
      <c r="AC42" s="1"/>
      <c r="AD42" s="60"/>
      <c r="AE42" s="61"/>
      <c r="AF42" s="61"/>
      <c r="AG42" s="61"/>
      <c r="AH42" s="61"/>
      <c r="AI42" s="62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2"/>
    </row>
    <row r="43" spans="1:85" ht="12" customHeight="1" x14ac:dyDescent="0.4">
      <c r="A43" s="1"/>
      <c r="B43" s="42" t="s">
        <v>94</v>
      </c>
      <c r="C43" s="42"/>
      <c r="D43" s="42"/>
      <c r="E43" s="42"/>
      <c r="F43" s="42"/>
      <c r="G43" s="42"/>
      <c r="H43" s="43" t="s">
        <v>111</v>
      </c>
      <c r="I43" s="43"/>
      <c r="J43" s="43"/>
      <c r="K43" s="43"/>
      <c r="L43" s="43"/>
      <c r="M43" s="43"/>
      <c r="N43" s="43"/>
      <c r="O43" s="43"/>
      <c r="P43" s="42" t="s">
        <v>3</v>
      </c>
      <c r="Q43" s="42"/>
      <c r="R43" s="42"/>
      <c r="S43" s="42"/>
      <c r="T43" s="42"/>
      <c r="U43" s="42"/>
      <c r="V43" s="10"/>
      <c r="W43" s="42" t="s">
        <v>6</v>
      </c>
      <c r="X43" s="42"/>
      <c r="Y43" s="42"/>
      <c r="Z43" s="42"/>
      <c r="AA43" s="42"/>
      <c r="AB43" s="42"/>
      <c r="AC43" s="43" t="s">
        <v>30</v>
      </c>
      <c r="AD43" s="43"/>
      <c r="AE43" s="43"/>
      <c r="AF43" s="43"/>
      <c r="AG43" s="43"/>
      <c r="AH43" s="43"/>
      <c r="AI43" s="43"/>
      <c r="AJ43" s="43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2"/>
    </row>
    <row r="44" spans="1:85" ht="12" customHeight="1" x14ac:dyDescent="0.4">
      <c r="A44" s="1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10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2"/>
    </row>
    <row r="45" spans="1:85" ht="12" customHeight="1" x14ac:dyDescent="0.3">
      <c r="A45" s="1"/>
      <c r="B45" s="23" t="s">
        <v>25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2"/>
    </row>
    <row r="46" spans="1:85" ht="12" customHeight="1" x14ac:dyDescent="0.3">
      <c r="A46" s="1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2"/>
    </row>
    <row r="47" spans="1:85" ht="12" customHeight="1" x14ac:dyDescent="0.3">
      <c r="A47" s="1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11"/>
    </row>
    <row r="48" spans="1:85" ht="12" customHeight="1" x14ac:dyDescent="0.65">
      <c r="A48" s="1"/>
      <c r="B48" s="24">
        <f>SUMIFS('Team data'!$AC$2:$AC$7,'Team data'!$A$2:$A$7,Cards!$J$2)</f>
        <v>0.49115044247787609</v>
      </c>
      <c r="C48" s="25"/>
      <c r="D48" s="25"/>
      <c r="E48" s="25"/>
      <c r="F48" s="25"/>
      <c r="G48" s="26"/>
      <c r="H48" s="15"/>
      <c r="I48" s="24">
        <f>SUMIFS('Team data'!$AD$2:$AD$7,'Team data'!$A$2:$A$7,Cards!$J$2)</f>
        <v>0.25132743362831861</v>
      </c>
      <c r="J48" s="25"/>
      <c r="K48" s="25"/>
      <c r="L48" s="25"/>
      <c r="M48" s="25"/>
      <c r="N48" s="26"/>
      <c r="O48" s="16"/>
      <c r="P48" s="24">
        <f>SUMIFS('Team data'!$AE$2:$AE$7,'Team data'!$A$2:$A$7,Cards!$J$2)</f>
        <v>0.2575221238938053</v>
      </c>
      <c r="Q48" s="25"/>
      <c r="R48" s="25"/>
      <c r="S48" s="25"/>
      <c r="T48" s="25"/>
      <c r="U48" s="26"/>
      <c r="V48" s="9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2"/>
    </row>
    <row r="49" spans="1:85" ht="12" customHeight="1" x14ac:dyDescent="0.65">
      <c r="A49" s="1"/>
      <c r="B49" s="27"/>
      <c r="C49" s="53"/>
      <c r="D49" s="53"/>
      <c r="E49" s="53"/>
      <c r="F49" s="53"/>
      <c r="G49" s="29"/>
      <c r="H49" s="15"/>
      <c r="I49" s="27"/>
      <c r="J49" s="53"/>
      <c r="K49" s="53"/>
      <c r="L49" s="53"/>
      <c r="M49" s="53"/>
      <c r="N49" s="29"/>
      <c r="O49" s="16"/>
      <c r="P49" s="27"/>
      <c r="Q49" s="53"/>
      <c r="R49" s="53"/>
      <c r="S49" s="53"/>
      <c r="T49" s="53"/>
      <c r="U49" s="29"/>
      <c r="V49" s="9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11"/>
    </row>
    <row r="50" spans="1:85" ht="12" customHeight="1" x14ac:dyDescent="0.65">
      <c r="A50" s="1"/>
      <c r="B50" s="27"/>
      <c r="C50" s="53"/>
      <c r="D50" s="53"/>
      <c r="E50" s="53"/>
      <c r="F50" s="53"/>
      <c r="G50" s="29"/>
      <c r="H50" s="15"/>
      <c r="I50" s="27"/>
      <c r="J50" s="53"/>
      <c r="K50" s="53"/>
      <c r="L50" s="53"/>
      <c r="M50" s="53"/>
      <c r="N50" s="29"/>
      <c r="O50" s="16"/>
      <c r="P50" s="27"/>
      <c r="Q50" s="53"/>
      <c r="R50" s="53"/>
      <c r="S50" s="53"/>
      <c r="T50" s="53"/>
      <c r="U50" s="29"/>
      <c r="V50" s="9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2"/>
    </row>
    <row r="51" spans="1:85" ht="12" customHeight="1" x14ac:dyDescent="0.65">
      <c r="A51" s="1"/>
      <c r="B51" s="27"/>
      <c r="C51" s="53"/>
      <c r="D51" s="53"/>
      <c r="E51" s="53"/>
      <c r="F51" s="53"/>
      <c r="G51" s="29"/>
      <c r="H51" s="15"/>
      <c r="I51" s="27"/>
      <c r="J51" s="53"/>
      <c r="K51" s="53"/>
      <c r="L51" s="53"/>
      <c r="M51" s="53"/>
      <c r="N51" s="29"/>
      <c r="O51" s="16"/>
      <c r="P51" s="27"/>
      <c r="Q51" s="53"/>
      <c r="R51" s="53"/>
      <c r="S51" s="53"/>
      <c r="T51" s="53"/>
      <c r="U51" s="29"/>
      <c r="V51" s="9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2"/>
    </row>
    <row r="52" spans="1:85" ht="12" customHeight="1" x14ac:dyDescent="0.65">
      <c r="A52" s="1"/>
      <c r="B52" s="27"/>
      <c r="C52" s="53"/>
      <c r="D52" s="53"/>
      <c r="E52" s="53"/>
      <c r="F52" s="53"/>
      <c r="G52" s="29"/>
      <c r="H52" s="15"/>
      <c r="I52" s="27"/>
      <c r="J52" s="53"/>
      <c r="K52" s="53"/>
      <c r="L52" s="53"/>
      <c r="M52" s="53"/>
      <c r="N52" s="29"/>
      <c r="O52" s="16"/>
      <c r="P52" s="27"/>
      <c r="Q52" s="53"/>
      <c r="R52" s="53"/>
      <c r="S52" s="53"/>
      <c r="T52" s="53"/>
      <c r="U52" s="29"/>
      <c r="V52" s="9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2"/>
    </row>
    <row r="53" spans="1:85" ht="12" customHeight="1" x14ac:dyDescent="0.65">
      <c r="A53" s="1"/>
      <c r="B53" s="30"/>
      <c r="C53" s="31"/>
      <c r="D53" s="31"/>
      <c r="E53" s="31"/>
      <c r="F53" s="31"/>
      <c r="G53" s="32"/>
      <c r="H53" s="15"/>
      <c r="I53" s="30"/>
      <c r="J53" s="31"/>
      <c r="K53" s="31"/>
      <c r="L53" s="31"/>
      <c r="M53" s="31"/>
      <c r="N53" s="32"/>
      <c r="O53" s="16"/>
      <c r="P53" s="30"/>
      <c r="Q53" s="31"/>
      <c r="R53" s="31"/>
      <c r="S53" s="31"/>
      <c r="T53" s="31"/>
      <c r="U53" s="32"/>
      <c r="V53" s="9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2"/>
    </row>
    <row r="54" spans="1:85" ht="12" customHeight="1" x14ac:dyDescent="0.4">
      <c r="A54" s="1"/>
      <c r="B54" s="42" t="s">
        <v>26</v>
      </c>
      <c r="C54" s="42"/>
      <c r="D54" s="42"/>
      <c r="E54" s="42"/>
      <c r="F54" s="42"/>
      <c r="G54" s="42"/>
      <c r="H54" s="43" t="s">
        <v>27</v>
      </c>
      <c r="I54" s="43"/>
      <c r="J54" s="43"/>
      <c r="K54" s="43"/>
      <c r="L54" s="43"/>
      <c r="M54" s="43"/>
      <c r="N54" s="43"/>
      <c r="O54" s="43"/>
      <c r="P54" s="42" t="s">
        <v>28</v>
      </c>
      <c r="Q54" s="42"/>
      <c r="R54" s="42"/>
      <c r="S54" s="42"/>
      <c r="T54" s="42"/>
      <c r="U54" s="42"/>
      <c r="V54" s="10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2"/>
    </row>
    <row r="55" spans="1:85" ht="12" customHeight="1" x14ac:dyDescent="0.4">
      <c r="A55" s="1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10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3"/>
    </row>
    <row r="56" spans="1:85" ht="12" customHeight="1" x14ac:dyDescent="0.3">
      <c r="A56" s="1"/>
      <c r="B56" s="72" t="s">
        <v>31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6"/>
      <c r="BD56" s="6"/>
      <c r="BE56" s="6"/>
      <c r="BF56" s="6"/>
      <c r="BG56" s="6"/>
      <c r="BH56" s="73" t="s">
        <v>112</v>
      </c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3"/>
    </row>
    <row r="57" spans="1:85" ht="12" customHeight="1" x14ac:dyDescent="0.3">
      <c r="A57" s="1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5"/>
    </row>
    <row r="58" spans="1:85" ht="12.6" customHeight="1" x14ac:dyDescent="0.3">
      <c r="A58" s="1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5"/>
    </row>
    <row r="59" spans="1:85" ht="12.6" customHeight="1" x14ac:dyDescent="0.3">
      <c r="A59" s="1"/>
      <c r="CG59" s="5"/>
    </row>
    <row r="60" spans="1:85" ht="12.6" customHeight="1" x14ac:dyDescent="0.3">
      <c r="A60" s="1"/>
      <c r="CG60" s="5"/>
    </row>
    <row r="61" spans="1:85" ht="14.1" customHeight="1" x14ac:dyDescent="0.3"/>
    <row r="62" spans="1:85" ht="14.1" customHeight="1" x14ac:dyDescent="0.3"/>
    <row r="63" spans="1:85" ht="14.1" customHeight="1" x14ac:dyDescent="0.3"/>
    <row r="64" spans="1:85" ht="14.1" customHeight="1" x14ac:dyDescent="0.3"/>
    <row r="65" ht="14.1" customHeight="1" x14ac:dyDescent="0.3"/>
    <row r="66" ht="14.1" customHeight="1" x14ac:dyDescent="0.3"/>
    <row r="67" ht="14.1" customHeight="1" x14ac:dyDescent="0.3"/>
    <row r="68" ht="14.1" customHeight="1" x14ac:dyDescent="0.3"/>
    <row r="69" ht="14.1" customHeight="1" x14ac:dyDescent="0.3"/>
    <row r="70" ht="14.1" customHeight="1" x14ac:dyDescent="0.3"/>
    <row r="71" ht="14.1" customHeight="1" x14ac:dyDescent="0.3"/>
    <row r="72" ht="14.1" customHeight="1" x14ac:dyDescent="0.3"/>
    <row r="73" ht="14.1" customHeight="1" x14ac:dyDescent="0.3"/>
    <row r="74" ht="14.1" customHeight="1" x14ac:dyDescent="0.3"/>
    <row r="75" ht="14.1" customHeight="1" x14ac:dyDescent="0.3"/>
    <row r="76" ht="14.1" customHeight="1" x14ac:dyDescent="0.3"/>
    <row r="77" ht="14.1" customHeight="1" x14ac:dyDescent="0.3"/>
    <row r="78" ht="14.1" customHeight="1" x14ac:dyDescent="0.3"/>
    <row r="79" ht="14.1" customHeight="1" x14ac:dyDescent="0.3"/>
    <row r="80" ht="14.1" customHeight="1" x14ac:dyDescent="0.3"/>
    <row r="81" ht="14.1" customHeight="1" x14ac:dyDescent="0.3"/>
    <row r="82" ht="14.1" customHeight="1" x14ac:dyDescent="0.3"/>
    <row r="83" ht="14.1" customHeight="1" x14ac:dyDescent="0.3"/>
    <row r="84" ht="14.1" customHeight="1" x14ac:dyDescent="0.3"/>
    <row r="85" ht="14.1" customHeight="1" x14ac:dyDescent="0.3"/>
    <row r="86" ht="14.1" customHeight="1" x14ac:dyDescent="0.3"/>
    <row r="87" ht="14.1" customHeight="1" x14ac:dyDescent="0.3"/>
    <row r="88" ht="14.1" customHeight="1" x14ac:dyDescent="0.3"/>
    <row r="89" ht="14.1" customHeight="1" x14ac:dyDescent="0.3"/>
    <row r="90" ht="14.1" customHeight="1" x14ac:dyDescent="0.3"/>
    <row r="91" ht="14.1" customHeight="1" x14ac:dyDescent="0.3"/>
    <row r="92" ht="14.1" customHeight="1" x14ac:dyDescent="0.3"/>
    <row r="93" ht="14.1" customHeight="1" x14ac:dyDescent="0.3"/>
    <row r="94" ht="14.1" customHeight="1" x14ac:dyDescent="0.3"/>
    <row r="95" ht="14.1" customHeight="1" x14ac:dyDescent="0.3"/>
    <row r="96" ht="14.1" customHeight="1" x14ac:dyDescent="0.3"/>
    <row r="97" ht="14.1" customHeight="1" x14ac:dyDescent="0.3"/>
    <row r="98" ht="14.1" customHeight="1" x14ac:dyDescent="0.3"/>
    <row r="99" ht="14.1" customHeight="1" x14ac:dyDescent="0.3"/>
    <row r="100" ht="14.1" customHeight="1" x14ac:dyDescent="0.3"/>
    <row r="101" ht="14.1" customHeight="1" x14ac:dyDescent="0.3"/>
    <row r="102" ht="14.1" customHeight="1" x14ac:dyDescent="0.3"/>
    <row r="103" ht="14.1" customHeight="1" x14ac:dyDescent="0.3"/>
    <row r="104" ht="14.1" customHeight="1" x14ac:dyDescent="0.3"/>
  </sheetData>
  <mergeCells count="57">
    <mergeCell ref="B56:Z58"/>
    <mergeCell ref="BH56:CF58"/>
    <mergeCell ref="AD37:AI42"/>
    <mergeCell ref="H32:O33"/>
    <mergeCell ref="B54:G55"/>
    <mergeCell ref="H54:O55"/>
    <mergeCell ref="P54:U55"/>
    <mergeCell ref="B48:G53"/>
    <mergeCell ref="I48:N53"/>
    <mergeCell ref="P48:U53"/>
    <mergeCell ref="B45:AI47"/>
    <mergeCell ref="AK15:CF55"/>
    <mergeCell ref="B43:G44"/>
    <mergeCell ref="P43:U44"/>
    <mergeCell ref="W43:AB44"/>
    <mergeCell ref="AC43:AJ44"/>
    <mergeCell ref="H43:O44"/>
    <mergeCell ref="AC21:AJ22"/>
    <mergeCell ref="B23:AI25"/>
    <mergeCell ref="AD26:AI31"/>
    <mergeCell ref="AC32:AJ33"/>
    <mergeCell ref="B34:AI36"/>
    <mergeCell ref="B37:G42"/>
    <mergeCell ref="I37:N42"/>
    <mergeCell ref="P37:U42"/>
    <mergeCell ref="W37:AB42"/>
    <mergeCell ref="P26:U31"/>
    <mergeCell ref="P32:U33"/>
    <mergeCell ref="W32:AB33"/>
    <mergeCell ref="W26:AB31"/>
    <mergeCell ref="P21:U22"/>
    <mergeCell ref="W21:AB22"/>
    <mergeCell ref="B15:G20"/>
    <mergeCell ref="I15:N20"/>
    <mergeCell ref="P15:U20"/>
    <mergeCell ref="W15:AB20"/>
    <mergeCell ref="AD15:AI20"/>
    <mergeCell ref="B21:G22"/>
    <mergeCell ref="B26:G31"/>
    <mergeCell ref="B32:G33"/>
    <mergeCell ref="I21:N22"/>
    <mergeCell ref="I26:N31"/>
    <mergeCell ref="CA8:CF9"/>
    <mergeCell ref="BM2:BR7"/>
    <mergeCell ref="BT2:BY7"/>
    <mergeCell ref="AY2:BD7"/>
    <mergeCell ref="BF2:BK7"/>
    <mergeCell ref="CA2:CF7"/>
    <mergeCell ref="AY8:BD9"/>
    <mergeCell ref="BF8:BK9"/>
    <mergeCell ref="BM8:BR9"/>
    <mergeCell ref="J2:AW8"/>
    <mergeCell ref="A1:I10"/>
    <mergeCell ref="AK12:AS14"/>
    <mergeCell ref="AT12:BN14"/>
    <mergeCell ref="BT8:BY9"/>
    <mergeCell ref="B12:AI14"/>
  </mergeCells>
  <conditionalFormatting sqref="BE2:BE7">
    <cfRule type="colorScale" priority="40">
      <colorScale>
        <cfvo type="num" val="-100"/>
        <cfvo type="num" val="0"/>
        <cfvo type="num" val="100"/>
        <color rgb="FFF8696B"/>
        <color rgb="FFFCFCFF"/>
        <color rgb="FF5A8AC6"/>
      </colorScale>
    </cfRule>
  </conditionalFormatting>
  <conditionalFormatting sqref="P54:V54 H54">
    <cfRule type="colorScale" priority="23">
      <colorScale>
        <cfvo type="num" val="-50"/>
        <cfvo type="num" val="0"/>
        <cfvo type="num" val="50"/>
        <color rgb="FFF8696B"/>
        <color rgb="FFFCFCFF"/>
        <color rgb="FF5A8AC6"/>
      </colorScale>
    </cfRule>
  </conditionalFormatting>
  <conditionalFormatting sqref="B54:G55 P55:V55">
    <cfRule type="colorScale" priority="22">
      <colorScale>
        <cfvo type="num" val="-50"/>
        <cfvo type="num" val="0"/>
        <cfvo type="num" val="50"/>
        <color rgb="FFF8696B"/>
        <color rgb="FFFCFCFF"/>
        <color rgb="FF5A8AC6"/>
      </colorScale>
    </cfRule>
  </conditionalFormatting>
  <conditionalFormatting sqref="BF2:CF7">
    <cfRule type="colorScale" priority="19">
      <colorScale>
        <cfvo type="num" val="0.25"/>
        <cfvo type="num" val="0.5"/>
        <cfvo type="num" val="0.75"/>
        <color rgb="FFF8696B"/>
        <color rgb="FFFCFCFF"/>
        <color rgb="FF5A8AC6"/>
      </colorScale>
    </cfRule>
  </conditionalFormatting>
  <conditionalFormatting sqref="B15:G20">
    <cfRule type="colorScale" priority="18">
      <colorScale>
        <cfvo type="num" val="139.5"/>
        <cfvo type="num" val="189.5"/>
        <cfvo type="num" val="229.5"/>
        <color rgb="FFF8696B"/>
        <color rgb="FFFCFCFF"/>
        <color rgb="FF5A8AC6"/>
      </colorScale>
    </cfRule>
  </conditionalFormatting>
  <conditionalFormatting sqref="P15:U20">
    <cfRule type="colorScale" priority="16">
      <colorScale>
        <cfvo type="num" val="0.45"/>
        <cfvo type="num" val="0.5"/>
        <cfvo type="num" val="0.55000000000000004"/>
        <color rgb="FFF8696B"/>
        <color rgb="FFFCFCFF"/>
        <color rgb="FF5A8AC6"/>
      </colorScale>
    </cfRule>
  </conditionalFormatting>
  <conditionalFormatting sqref="P26:U31">
    <cfRule type="colorScale" priority="11">
      <colorScale>
        <cfvo type="num" val="0.45"/>
        <cfvo type="num" val="0.5"/>
        <cfvo type="num" val="0.55000000000000004"/>
        <color rgb="FFF8696B"/>
        <color rgb="FFFCFCFF"/>
        <color rgb="FF5A8AC6"/>
      </colorScale>
    </cfRule>
  </conditionalFormatting>
  <conditionalFormatting sqref="P37:U42">
    <cfRule type="colorScale" priority="6">
      <colorScale>
        <cfvo type="num" val="0.4"/>
        <cfvo type="num" val="0.5"/>
        <cfvo type="num" val="0.6"/>
        <color rgb="FFF8696B"/>
        <color rgb="FFFCFCFF"/>
        <color rgb="FF5A8AC6"/>
      </colorScale>
    </cfRule>
  </conditionalFormatting>
  <conditionalFormatting sqref="W37:AB42">
    <cfRule type="colorScale" priority="5">
      <colorScale>
        <cfvo type="num" val="0.25"/>
        <cfvo type="num" val="0.5"/>
        <cfvo type="num" val="0.75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lorScale" priority="17" id="{29C469AC-CDCC-47A3-9763-A0BD8B676D04}">
            <x14:colorScale>
              <x14:cfvo type="formula">
                <xm:f>'Team data'!$I$9-0.8</xm:f>
              </x14:cfvo>
              <x14:cfvo type="num">
                <xm:f>4.45</xm:f>
              </x14:cfvo>
              <x14:cfvo type="formula">
                <xm:f>'Team data'!$I$9+0.8</xm:f>
              </x14:cfvo>
              <x14:color rgb="FFF8696B"/>
              <x14:color rgb="FFFCFCFF"/>
              <x14:color rgb="FF5A8AC6"/>
            </x14:colorScale>
          </x14:cfRule>
          <xm:sqref>I15:N20</xm:sqref>
        </x14:conditionalFormatting>
        <x14:conditionalFormatting xmlns:xm="http://schemas.microsoft.com/office/excel/2006/main">
          <x14:cfRule type="colorScale" priority="15" id="{6D83AC0B-EB84-41C3-ABF5-092260718184}">
            <x14:colorScale>
              <x14:cfvo type="formula">
                <xm:f>'Team data'!$E$9-5</xm:f>
              </x14:cfvo>
              <x14:cfvo type="formula">
                <xm:f>'Team data'!$E$9</xm:f>
              </x14:cfvo>
              <x14:cfvo type="formula">
                <xm:f>'Team data'!$E$9+5</xm:f>
              </x14:cfvo>
              <x14:color rgb="FFF8696B"/>
              <x14:color rgb="FFFCFCFF"/>
              <x14:color rgb="FF5A8AC6"/>
            </x14:colorScale>
          </x14:cfRule>
          <xm:sqref>W15:AB20</xm:sqref>
        </x14:conditionalFormatting>
        <x14:conditionalFormatting xmlns:xm="http://schemas.microsoft.com/office/excel/2006/main">
          <x14:cfRule type="colorScale" priority="14" id="{61FC76B2-79D0-4D2B-85E2-312EDECAA48C}">
            <x14:colorScale>
              <x14:cfvo type="formula">
                <xm:f>'Team data'!$D$9-0.12</xm:f>
              </x14:cfvo>
              <x14:cfvo type="formula">
                <xm:f>'Team data'!$D$9</xm:f>
              </x14:cfvo>
              <x14:cfvo type="formula">
                <xm:f>'Team data'!$D$9+0.12</xm:f>
              </x14:cfvo>
              <x14:color rgb="FFF8696B"/>
              <x14:color rgb="FFFCFCFF"/>
              <x14:color rgb="FF5A8AC6"/>
            </x14:colorScale>
          </x14:cfRule>
          <xm:sqref>AD15:AI20</xm:sqref>
        </x14:conditionalFormatting>
        <x14:conditionalFormatting xmlns:xm="http://schemas.microsoft.com/office/excel/2006/main">
          <x14:cfRule type="colorScale" priority="13" id="{B853B013-4D10-4E52-BFB8-BA05BE489827}">
            <x14:colorScale>
              <x14:cfvo type="formula">
                <xm:f>'Team data'!$Y$9-30</xm:f>
              </x14:cfvo>
              <x14:cfvo type="formula">
                <xm:f>'Team data'!$Y$9</xm:f>
              </x14:cfvo>
              <x14:cfvo type="num">
                <xm:f>'Team data'!$Y$9+30</xm:f>
              </x14:cfvo>
              <x14:color rgb="FFF8696B"/>
              <x14:color rgb="FFFCFCFF"/>
              <x14:color rgb="FF5A8AC6"/>
            </x14:colorScale>
          </x14:cfRule>
          <xm:sqref>B26:G31</xm:sqref>
        </x14:conditionalFormatting>
        <x14:conditionalFormatting xmlns:xm="http://schemas.microsoft.com/office/excel/2006/main">
          <x14:cfRule type="colorScale" priority="12" id="{593C49B9-20F6-4295-8387-F9D0F2B64332}">
            <x14:colorScale>
              <x14:cfvo type="formula">
                <xm:f>'Team data'!$J$9-0.04</xm:f>
              </x14:cfvo>
              <x14:cfvo type="formula">
                <xm:f>'Team data'!$J$9</xm:f>
              </x14:cfvo>
              <x14:cfvo type="formula">
                <xm:f>'Team data'!$J$9+0.04</xm:f>
              </x14:cfvo>
              <x14:color rgb="FFF8696B"/>
              <x14:color rgb="FFFCFCFF"/>
              <x14:color rgb="FF5A8AC6"/>
            </x14:colorScale>
          </x14:cfRule>
          <xm:sqref>I26:N31</xm:sqref>
        </x14:conditionalFormatting>
        <x14:conditionalFormatting xmlns:xm="http://schemas.microsoft.com/office/excel/2006/main">
          <x14:cfRule type="colorScale" priority="10" id="{EB5DE7D4-69F1-4FDF-B961-CBF11EDEE28D}">
            <x14:colorScale>
              <x14:cfvo type="formula">
                <xm:f>'Team data'!$F$9-7</xm:f>
              </x14:cfvo>
              <x14:cfvo type="formula">
                <xm:f>'Team data'!$F$9</xm:f>
              </x14:cfvo>
              <x14:cfvo type="formula">
                <xm:f>'Team data'!$F$9+7</xm:f>
              </x14:cfvo>
              <x14:color rgb="FFF8696B"/>
              <x14:color rgb="FFFCFCFF"/>
              <x14:color rgb="FF5A8AC6"/>
            </x14:colorScale>
          </x14:cfRule>
          <xm:sqref>W26:AB31</xm:sqref>
        </x14:conditionalFormatting>
        <x14:conditionalFormatting xmlns:xm="http://schemas.microsoft.com/office/excel/2006/main">
          <x14:cfRule type="colorScale" priority="9" id="{673F4CE0-D704-4764-AAC5-9DF1480D669D}">
            <x14:colorScale>
              <x14:cfvo type="num">
                <xm:f>'Team data'!$G$9-0.2</xm:f>
              </x14:cfvo>
              <x14:cfvo type="formula">
                <xm:f>'Team data'!$G$9</xm:f>
              </x14:cfvo>
              <x14:cfvo type="formula">
                <xm:f>'Team data'!$G$9+0.2</xm:f>
              </x14:cfvo>
              <x14:color rgb="FFF8696B"/>
              <x14:color rgb="FFFCFCFF"/>
              <x14:color rgb="FF5A8AC6"/>
            </x14:colorScale>
          </x14:cfRule>
          <xm:sqref>AD26:AI31</xm:sqref>
        </x14:conditionalFormatting>
        <x14:conditionalFormatting xmlns:xm="http://schemas.microsoft.com/office/excel/2006/main">
          <x14:cfRule type="colorScale" priority="8" id="{34008B71-48A5-4857-BA4A-48BAA29A3F3D}">
            <x14:colorScale>
              <x14:cfvo type="formula">
                <xm:f>'Team data'!$K$9-7</xm:f>
              </x14:cfvo>
              <x14:cfvo type="formula">
                <xm:f>'Team data'!$K$9</xm:f>
              </x14:cfvo>
              <x14:cfvo type="formula">
                <xm:f>'Team data'!$K$9+7</xm:f>
              </x14:cfvo>
              <x14:color rgb="FFF8696B"/>
              <x14:color rgb="FFFCFCFF"/>
              <x14:color rgb="FF5A8AC6"/>
            </x14:colorScale>
          </x14:cfRule>
          <xm:sqref>B37:G42</xm:sqref>
        </x14:conditionalFormatting>
        <x14:conditionalFormatting xmlns:xm="http://schemas.microsoft.com/office/excel/2006/main">
          <x14:cfRule type="colorScale" priority="7" id="{E178C66B-B3A6-4481-88E1-199348A098FC}">
            <x14:colorScale>
              <x14:cfvo type="formula">
                <xm:f>'Team data'!$L$9-0.012</xm:f>
              </x14:cfvo>
              <x14:cfvo type="formula">
                <xm:f>'Team data'!$L$9</xm:f>
              </x14:cfvo>
              <x14:cfvo type="formula">
                <xm:f>'Team data'!$L$9+0.012</xm:f>
              </x14:cfvo>
              <x14:color rgb="FFF8696B"/>
              <x14:color rgb="FFFCFCFF"/>
              <x14:color rgb="FF5A8AC6"/>
            </x14:colorScale>
          </x14:cfRule>
          <xm:sqref>I37:N42</xm:sqref>
        </x14:conditionalFormatting>
        <x14:conditionalFormatting xmlns:xm="http://schemas.microsoft.com/office/excel/2006/main">
          <x14:cfRule type="colorScale" priority="4" id="{50344762-0948-42C8-8CF0-224CEF024745}">
            <x14:colorScale>
              <x14:cfvo type="formula">
                <xm:f>'Team data'!$M$9-0.25</xm:f>
              </x14:cfvo>
              <x14:cfvo type="formula">
                <xm:f>'Team data'!$M$9</xm:f>
              </x14:cfvo>
              <x14:cfvo type="formula">
                <xm:f>'Team data'!$M$9+0.25</xm:f>
              </x14:cfvo>
              <x14:color rgb="FFF8696B"/>
              <x14:color rgb="FFFCFCFF"/>
              <x14:color rgb="FF5A8AC6"/>
            </x14:colorScale>
          </x14:cfRule>
          <xm:sqref>AD37:AI42</xm:sqref>
        </x14:conditionalFormatting>
        <x14:conditionalFormatting xmlns:xm="http://schemas.microsoft.com/office/excel/2006/main">
          <x14:cfRule type="colorScale" priority="3" id="{D6943C3B-84BF-476C-B855-0ABD7E314F6E}">
            <x14:colorScale>
              <x14:cfvo type="formula">
                <xm:f>'Team data'!$N$9-0.08</xm:f>
              </x14:cfvo>
              <x14:cfvo type="formula">
                <xm:f>'Team data'!$N$9</xm:f>
              </x14:cfvo>
              <x14:cfvo type="num">
                <xm:f>'Team data'!$N$9+0.08</xm:f>
              </x14:cfvo>
              <x14:color rgb="FFF8696B"/>
              <x14:color rgb="FFFCFCFF"/>
              <x14:color rgb="FF5A8AC6"/>
            </x14:colorScale>
          </x14:cfRule>
          <xm:sqref>B48:G53</xm:sqref>
        </x14:conditionalFormatting>
        <x14:conditionalFormatting xmlns:xm="http://schemas.microsoft.com/office/excel/2006/main">
          <x14:cfRule type="colorScale" priority="2" id="{52BD39CC-235F-4A03-BE86-E72C009828B7}">
            <x14:colorScale>
              <x14:cfvo type="formula">
                <xm:f>'Team data'!$O$9-0.04</xm:f>
              </x14:cfvo>
              <x14:cfvo type="formula">
                <xm:f>'Team data'!$O$9</xm:f>
              </x14:cfvo>
              <x14:cfvo type="formula">
                <xm:f>'Team data'!$O$9+0.04</xm:f>
              </x14:cfvo>
              <x14:color rgb="FFF8696B"/>
              <x14:color rgb="FFFCFCFF"/>
              <x14:color rgb="FF5A8AC6"/>
            </x14:colorScale>
          </x14:cfRule>
          <xm:sqref>I48:N53</xm:sqref>
        </x14:conditionalFormatting>
        <x14:conditionalFormatting xmlns:xm="http://schemas.microsoft.com/office/excel/2006/main">
          <x14:cfRule type="colorScale" priority="1" id="{D0896D64-ED53-4EDA-A340-9107033FE6D1}">
            <x14:colorScale>
              <x14:cfvo type="formula">
                <xm:f>'Team data'!$P$9-0.05</xm:f>
              </x14:cfvo>
              <x14:cfvo type="num">
                <xm:f>'Team data'!$P$9</xm:f>
              </x14:cfvo>
              <x14:cfvo type="formula">
                <xm:f>'Team data'!$P$9+0.05</xm:f>
              </x14:cfvo>
              <x14:color rgb="FFF8696B"/>
              <x14:color rgb="FFFCFCFF"/>
              <x14:color rgb="FF5A8AC6"/>
            </x14:colorScale>
          </x14:cfRule>
          <xm:sqref>P48:U53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EB79DAA-043F-4075-B66D-0C4FE365B5DC}">
          <x14:formula1>
            <xm:f>Logos!$B$2:$B$7</xm:f>
          </x14:formula1>
          <xm:sqref>J2:AW8</xm:sqref>
        </x14:dataValidation>
        <x14:dataValidation type="list" allowBlank="1" showInputMessage="1" showErrorMessage="1" xr:uid="{ED12B798-51F7-4F36-AC40-48BDCB25C236}">
          <x14:formula1>
            <xm:f>'Team data'!$BR$3:$BR$11</xm:f>
          </x14:formula1>
          <xm:sqref>AT12:BN14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A422-12AF-44EE-8CBA-0882F440A2F6}">
  <dimension ref="A1:CR20"/>
  <sheetViews>
    <sheetView topLeftCell="BA1" workbookViewId="0">
      <selection sqref="A1:BP7"/>
    </sheetView>
  </sheetViews>
  <sheetFormatPr defaultRowHeight="14.4" x14ac:dyDescent="0.3"/>
  <cols>
    <col min="1" max="1" width="21.44140625" customWidth="1"/>
    <col min="2" max="2" width="10.33203125" customWidth="1"/>
    <col min="3" max="3" width="17.44140625" customWidth="1"/>
    <col min="4" max="4" width="17.88671875" customWidth="1"/>
    <col min="5" max="5" width="10.5546875" customWidth="1"/>
    <col min="6" max="6" width="9.77734375" customWidth="1"/>
    <col min="7" max="7" width="13.5546875" customWidth="1"/>
    <col min="8" max="10" width="15.77734375" customWidth="1"/>
    <col min="11" max="11" width="9.88671875" customWidth="1"/>
    <col min="12" max="12" width="10.33203125" customWidth="1"/>
    <col min="13" max="13" width="9.6640625" customWidth="1"/>
    <col min="15" max="15" width="10.6640625" customWidth="1"/>
    <col min="17" max="17" width="13.44140625" customWidth="1"/>
    <col min="18" max="18" width="15.88671875" customWidth="1"/>
    <col min="19" max="19" width="11.44140625" customWidth="1"/>
    <col min="21" max="21" width="9.33203125" customWidth="1"/>
    <col min="22" max="22" width="9.77734375" customWidth="1"/>
    <col min="24" max="25" width="10.77734375" customWidth="1"/>
    <col min="26" max="26" width="14.33203125" customWidth="1"/>
    <col min="27" max="27" width="14.77734375" customWidth="1"/>
    <col min="28" max="31" width="14.109375" customWidth="1"/>
    <col min="32" max="36" width="8.5546875" customWidth="1"/>
    <col min="37" max="37" width="12.33203125" customWidth="1"/>
    <col min="38" max="38" width="19.21875" customWidth="1"/>
    <col min="39" max="39" width="19.6640625" customWidth="1"/>
    <col min="40" max="40" width="12.33203125" customWidth="1"/>
    <col min="41" max="42" width="11.5546875" customWidth="1"/>
    <col min="43" max="45" width="17.5546875" customWidth="1"/>
    <col min="46" max="46" width="11.6640625" customWidth="1"/>
    <col min="47" max="47" width="12.109375" customWidth="1"/>
    <col min="48" max="48" width="11.44140625" customWidth="1"/>
    <col min="50" max="50" width="12.44140625" customWidth="1"/>
    <col min="52" max="52" width="15.21875" customWidth="1"/>
    <col min="53" max="53" width="17.6640625" customWidth="1"/>
    <col min="54" max="54" width="13.21875" customWidth="1"/>
    <col min="55" max="55" width="10.33203125" customWidth="1"/>
    <col min="56" max="56" width="11.109375" customWidth="1"/>
    <col min="57" max="57" width="11.5546875" customWidth="1"/>
    <col min="59" max="60" width="12.5546875" customWidth="1"/>
    <col min="61" max="61" width="16.109375" customWidth="1"/>
    <col min="62" max="62" width="16.5546875" customWidth="1"/>
    <col min="63" max="63" width="15.88671875" customWidth="1"/>
    <col min="70" max="70" width="18" customWidth="1"/>
    <col min="71" max="76" width="10.88671875" customWidth="1"/>
    <col min="78" max="89" width="10.88671875" customWidth="1"/>
  </cols>
  <sheetData>
    <row r="1" spans="1:96" x14ac:dyDescent="0.3">
      <c r="A1" t="s">
        <v>0</v>
      </c>
      <c r="B1" t="s">
        <v>1</v>
      </c>
      <c r="C1" t="s">
        <v>32</v>
      </c>
      <c r="D1" t="s">
        <v>33</v>
      </c>
      <c r="E1" t="s">
        <v>34</v>
      </c>
      <c r="F1" t="s">
        <v>35</v>
      </c>
      <c r="G1" t="s">
        <v>76</v>
      </c>
      <c r="H1" t="s">
        <v>36</v>
      </c>
      <c r="I1" t="s">
        <v>77</v>
      </c>
      <c r="J1" t="s">
        <v>78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102</v>
      </c>
      <c r="Z1" t="s">
        <v>51</v>
      </c>
      <c r="AA1" t="s">
        <v>52</v>
      </c>
      <c r="AB1" t="s">
        <v>53</v>
      </c>
      <c r="AC1" t="s">
        <v>104</v>
      </c>
      <c r="AD1" t="s">
        <v>105</v>
      </c>
      <c r="AE1" t="s">
        <v>106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30</v>
      </c>
      <c r="AL1" t="s">
        <v>54</v>
      </c>
      <c r="AM1" t="s">
        <v>55</v>
      </c>
      <c r="AN1" t="s">
        <v>56</v>
      </c>
      <c r="AO1" t="s">
        <v>57</v>
      </c>
      <c r="AP1" t="s">
        <v>89</v>
      </c>
      <c r="AQ1" t="s">
        <v>58</v>
      </c>
      <c r="AR1" t="s">
        <v>90</v>
      </c>
      <c r="AS1" t="s">
        <v>91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103</v>
      </c>
      <c r="BI1" t="s">
        <v>73</v>
      </c>
      <c r="BJ1" t="s">
        <v>74</v>
      </c>
      <c r="BK1" t="s">
        <v>75</v>
      </c>
      <c r="BL1" t="s">
        <v>84</v>
      </c>
      <c r="BM1" t="s">
        <v>85</v>
      </c>
      <c r="BN1" t="s">
        <v>86</v>
      </c>
      <c r="BO1" t="s">
        <v>87</v>
      </c>
      <c r="BP1" t="s">
        <v>88</v>
      </c>
      <c r="BS1" s="12" t="s">
        <v>7</v>
      </c>
      <c r="BT1" s="12" t="s">
        <v>8</v>
      </c>
      <c r="BU1" s="12" t="s">
        <v>9</v>
      </c>
      <c r="BV1" s="12" t="s">
        <v>10</v>
      </c>
      <c r="BW1" s="12" t="s">
        <v>11</v>
      </c>
      <c r="BX1" s="12" t="s">
        <v>12</v>
      </c>
      <c r="BZ1" s="74" t="s">
        <v>7</v>
      </c>
      <c r="CA1" s="74"/>
      <c r="CB1" s="74" t="s">
        <v>8</v>
      </c>
      <c r="CC1" s="74"/>
      <c r="CD1" s="74" t="s">
        <v>9</v>
      </c>
      <c r="CE1" s="74"/>
      <c r="CF1" s="74" t="s">
        <v>10</v>
      </c>
      <c r="CG1" s="74"/>
      <c r="CH1" s="74" t="s">
        <v>11</v>
      </c>
      <c r="CI1" s="74"/>
      <c r="CJ1" s="74" t="s">
        <v>12</v>
      </c>
      <c r="CK1" s="74"/>
    </row>
    <row r="2" spans="1:96" x14ac:dyDescent="0.3">
      <c r="A2" t="s">
        <v>7</v>
      </c>
      <c r="B2">
        <v>7</v>
      </c>
      <c r="C2">
        <v>1260</v>
      </c>
      <c r="D2">
        <v>2844</v>
      </c>
      <c r="E2">
        <v>43825.996783203191</v>
      </c>
      <c r="F2">
        <v>68451.876953289553</v>
      </c>
      <c r="G2">
        <f>Table1[[#This Row],[Pass dist]]/Table1[[#This Row],[Carry dist]]</f>
        <v>1.5619011996898724</v>
      </c>
      <c r="H2">
        <v>6190</v>
      </c>
      <c r="I2">
        <f>Table1[[#This Row],[Possession time]]/Table1[[#This Row],[Team possessions]]</f>
        <v>4.912698412698413</v>
      </c>
      <c r="J2">
        <f>Table1[[#This Row],[Player possessions]]/Table1[[#This Row],[Team possessions]]</f>
        <v>2.2571428571428571</v>
      </c>
      <c r="K2">
        <v>2328</v>
      </c>
      <c r="L2">
        <v>1792</v>
      </c>
      <c r="M2">
        <v>2070</v>
      </c>
      <c r="N2">
        <v>142</v>
      </c>
      <c r="O2">
        <v>401</v>
      </c>
      <c r="P2">
        <v>1039</v>
      </c>
      <c r="Q2">
        <v>252</v>
      </c>
      <c r="R2">
        <v>644</v>
      </c>
      <c r="S2">
        <v>119</v>
      </c>
      <c r="T2">
        <v>90</v>
      </c>
      <c r="U2">
        <v>97</v>
      </c>
      <c r="V2">
        <v>41</v>
      </c>
      <c r="W2">
        <v>13</v>
      </c>
      <c r="X2">
        <v>6</v>
      </c>
      <c r="Y2">
        <f>Table1[[#This Row],[Play]]+Table1[[#This Row],[Incomplete Play]]+Table1[[#This Row],[Shot assist]]</f>
        <v>1802</v>
      </c>
      <c r="Z2">
        <v>700</v>
      </c>
      <c r="AA2">
        <v>285</v>
      </c>
      <c r="AB2">
        <v>275</v>
      </c>
      <c r="AC2">
        <f>Table1[[#This Row],[Def zone start]]/(Table1[[#This Row],[Def zone start]]+Table1[[#This Row],[Neu zone start]]+Table1[[#This Row],[Off zone start]])</f>
        <v>0.55555555555555558</v>
      </c>
      <c r="AD2">
        <f>Table1[[#This Row],[Neu zone start]]/(Table1[[#This Row],[Def zone start]]+Table1[[#This Row],[Neu zone start]]+Table1[[#This Row],[Off zone start]])</f>
        <v>0.22619047619047619</v>
      </c>
      <c r="AE2">
        <f>Table1[[#This Row],[Off zone start]]/(Table1[[#This Row],[Def zone start]]+Table1[[#This Row],[Neu zone start]]+Table1[[#This Row],[Off zone start]])</f>
        <v>0.21825396825396826</v>
      </c>
      <c r="AF2">
        <f>Table1[[#This Row],[Goal]]+Table1[[#This Row],[Blocked]]+Table1[[#This Row],[Missed]]+Table1[[#This Row],[Shot]]</f>
        <v>342</v>
      </c>
      <c r="AG2">
        <f>Table1[[#This Row],[Goal]]+Table1[[#This Row],[Missed]]+Table1[[#This Row],[Shot]]</f>
        <v>245</v>
      </c>
      <c r="AH2">
        <f>Table1[[#This Row],[Goal]]+Table1[[#This Row],[Shot]]</f>
        <v>155</v>
      </c>
      <c r="AI2">
        <f>Table1[[#This Row],[Goal]]</f>
        <v>13</v>
      </c>
      <c r="AJ2">
        <f>Table1[[#This Row],[Play]]+Table1[[#This Row],[Shot assist]]</f>
        <v>1158</v>
      </c>
      <c r="AK2">
        <v>2.0345821325648417</v>
      </c>
      <c r="AL2">
        <v>1233</v>
      </c>
      <c r="AM2">
        <v>2583</v>
      </c>
      <c r="AN2">
        <v>36886.261832903379</v>
      </c>
      <c r="AO2">
        <v>56392.347299955785</v>
      </c>
      <c r="AP2">
        <f>Table1[[#This Row],[O Pass dist]]/Table1[[#This Row],[O Carry dist]]</f>
        <v>1.5288170852176877</v>
      </c>
      <c r="AQ2">
        <v>5089</v>
      </c>
      <c r="AR2">
        <f>Table1[[#This Row],[O Possession time]]/Table1[[#This Row],[O Team possessions]]</f>
        <v>4.1273317112733174</v>
      </c>
      <c r="AS2">
        <f>Table1[[#This Row],[O Player possessions]]/Table1[[#This Row],[O Team possessions]]</f>
        <v>2.0948905109489053</v>
      </c>
      <c r="AT2">
        <v>2419</v>
      </c>
      <c r="AU2">
        <v>1329</v>
      </c>
      <c r="AV2">
        <v>1341</v>
      </c>
      <c r="AW2">
        <v>126</v>
      </c>
      <c r="AX2">
        <v>277</v>
      </c>
      <c r="AY2">
        <v>918</v>
      </c>
      <c r="AZ2">
        <v>291</v>
      </c>
      <c r="BA2">
        <v>640</v>
      </c>
      <c r="BB2">
        <v>90</v>
      </c>
      <c r="BC2">
        <v>66</v>
      </c>
      <c r="BD2">
        <v>83</v>
      </c>
      <c r="BE2">
        <v>75</v>
      </c>
      <c r="BF2">
        <v>9</v>
      </c>
      <c r="BG2">
        <v>8</v>
      </c>
      <c r="BH2">
        <f>Table1[[#This Row],[O Shot assist]]+Table1[[#This Row],[O Play]]+Table1[[#This Row],[O Incomplete Play]]</f>
        <v>1648</v>
      </c>
      <c r="BI2">
        <v>731</v>
      </c>
      <c r="BJ2">
        <v>262</v>
      </c>
      <c r="BK2">
        <v>240</v>
      </c>
      <c r="BL2">
        <f>Table1[[#This Row],[O Goal]]+Table1[[#This Row],[O Blocked]]+Table1[[#This Row],[O Missed]]+Table1[[#This Row],[O Shot]]</f>
        <v>284</v>
      </c>
      <c r="BM2">
        <f>Table1[[#This Row],[O Goal]]+Table1[[#This Row],[O Missed]]+Table1[[#This Row],[O Shot]]</f>
        <v>201</v>
      </c>
      <c r="BN2">
        <f>Table1[[#This Row],[O Goal]]+Table1[[#This Row],[O Shot]]</f>
        <v>135</v>
      </c>
      <c r="BO2">
        <f>Table1[[#This Row],[O Goal]]</f>
        <v>9</v>
      </c>
      <c r="BP2">
        <f>Table1[[#This Row],[O Play]]+Table1[[#This Row],[O Shot assist]]</f>
        <v>1008</v>
      </c>
      <c r="BS2" t="s">
        <v>92</v>
      </c>
      <c r="BT2" t="s">
        <v>92</v>
      </c>
      <c r="BU2" t="s">
        <v>92</v>
      </c>
      <c r="BV2" t="s">
        <v>92</v>
      </c>
      <c r="BW2" t="s">
        <v>92</v>
      </c>
      <c r="BX2" t="s">
        <v>92</v>
      </c>
      <c r="BZ2" t="s">
        <v>92</v>
      </c>
      <c r="CA2" t="s">
        <v>93</v>
      </c>
      <c r="CB2" t="s">
        <v>92</v>
      </c>
      <c r="CC2" t="s">
        <v>93</v>
      </c>
      <c r="CD2" t="s">
        <v>92</v>
      </c>
      <c r="CE2" t="s">
        <v>93</v>
      </c>
      <c r="CF2" t="s">
        <v>92</v>
      </c>
      <c r="CG2" t="s">
        <v>93</v>
      </c>
      <c r="CH2" t="s">
        <v>92</v>
      </c>
      <c r="CI2" t="s">
        <v>93</v>
      </c>
      <c r="CJ2" t="s">
        <v>92</v>
      </c>
      <c r="CK2" t="s">
        <v>93</v>
      </c>
      <c r="CM2" t="s">
        <v>92</v>
      </c>
      <c r="CN2" t="s">
        <v>93</v>
      </c>
      <c r="CO2" t="s">
        <v>92</v>
      </c>
      <c r="CP2" t="s">
        <v>93</v>
      </c>
      <c r="CQ2" t="s">
        <v>92</v>
      </c>
      <c r="CR2" t="s">
        <v>93</v>
      </c>
    </row>
    <row r="3" spans="1:96" x14ac:dyDescent="0.3">
      <c r="A3" t="s">
        <v>8</v>
      </c>
      <c r="B3">
        <v>6</v>
      </c>
      <c r="C3">
        <v>1152</v>
      </c>
      <c r="D3">
        <v>2392</v>
      </c>
      <c r="E3">
        <v>32454.63527703179</v>
      </c>
      <c r="F3">
        <v>50119.688168642308</v>
      </c>
      <c r="G3">
        <f>Table1[[#This Row],[Pass dist]]/Table1[[#This Row],[Carry dist]]</f>
        <v>1.5442998431756252</v>
      </c>
      <c r="H3">
        <v>4706</v>
      </c>
      <c r="I3">
        <f>Table1[[#This Row],[Possession time]]/Table1[[#This Row],[Team possessions]]</f>
        <v>4.0850694444444446</v>
      </c>
      <c r="J3">
        <f>Table1[[#This Row],[Player possessions]]/Table1[[#This Row],[Team possessions]]</f>
        <v>2.0763888888888888</v>
      </c>
      <c r="K3">
        <v>2337</v>
      </c>
      <c r="L3">
        <v>1263</v>
      </c>
      <c r="M3">
        <v>1106</v>
      </c>
      <c r="N3">
        <v>110</v>
      </c>
      <c r="O3">
        <v>292</v>
      </c>
      <c r="P3">
        <v>821</v>
      </c>
      <c r="Q3">
        <v>314</v>
      </c>
      <c r="R3">
        <v>577</v>
      </c>
      <c r="S3">
        <v>85</v>
      </c>
      <c r="T3">
        <v>56</v>
      </c>
      <c r="U3">
        <v>70</v>
      </c>
      <c r="V3">
        <v>55</v>
      </c>
      <c r="W3">
        <v>5</v>
      </c>
      <c r="X3">
        <v>7</v>
      </c>
      <c r="Y3">
        <f>Table1[[#This Row],[Play]]+Table1[[#This Row],[Incomplete Play]]+Table1[[#This Row],[Shot assist]]</f>
        <v>1483</v>
      </c>
      <c r="Z3">
        <v>689</v>
      </c>
      <c r="AA3">
        <v>239</v>
      </c>
      <c r="AB3">
        <v>224</v>
      </c>
      <c r="AC3">
        <f>Table1[[#This Row],[Def zone start]]/(Table1[[#This Row],[Def zone start]]+Table1[[#This Row],[Neu zone start]]+Table1[[#This Row],[Off zone start]])</f>
        <v>0.59809027777777779</v>
      </c>
      <c r="AD3">
        <f>Table1[[#This Row],[Neu zone start]]/(Table1[[#This Row],[Def zone start]]+Table1[[#This Row],[Neu zone start]]+Table1[[#This Row],[Off zone start]])</f>
        <v>0.20746527777777779</v>
      </c>
      <c r="AE3">
        <f>Table1[[#This Row],[Off zone start]]/(Table1[[#This Row],[Def zone start]]+Table1[[#This Row],[Neu zone start]]+Table1[[#This Row],[Off zone start]])</f>
        <v>0.19444444444444445</v>
      </c>
      <c r="AF3">
        <f>Table1[[#This Row],[Goal]]+Table1[[#This Row],[Blocked]]+Table1[[#This Row],[Missed]]+Table1[[#This Row],[Shot]]</f>
        <v>241</v>
      </c>
      <c r="AG3">
        <f>Table1[[#This Row],[Goal]]+Table1[[#This Row],[Missed]]+Table1[[#This Row],[Shot]]</f>
        <v>171</v>
      </c>
      <c r="AH3">
        <f>Table1[[#This Row],[Goal]]+Table1[[#This Row],[Shot]]</f>
        <v>115</v>
      </c>
      <c r="AI3">
        <f>Table1[[#This Row],[Goal]]</f>
        <v>5</v>
      </c>
      <c r="AJ3">
        <f>Table1[[#This Row],[Play]]+Table1[[#This Row],[Shot assist]]</f>
        <v>906</v>
      </c>
      <c r="AK3">
        <v>1.9132231404958677</v>
      </c>
      <c r="AL3">
        <v>1202</v>
      </c>
      <c r="AM3">
        <v>2686</v>
      </c>
      <c r="AN3">
        <v>42013.176479301408</v>
      </c>
      <c r="AO3">
        <v>63086.047014292875</v>
      </c>
      <c r="AP3">
        <f>Table1[[#This Row],[O Pass dist]]/Table1[[#This Row],[O Carry dist]]</f>
        <v>1.5015776549381696</v>
      </c>
      <c r="AQ3">
        <v>5600</v>
      </c>
      <c r="AR3">
        <f>Table1[[#This Row],[O Possession time]]/Table1[[#This Row],[O Team possessions]]</f>
        <v>4.6589018302828622</v>
      </c>
      <c r="AS3">
        <f>Table1[[#This Row],[O Player possessions]]/Table1[[#This Row],[O Team possessions]]</f>
        <v>2.2346089850249582</v>
      </c>
      <c r="AT3">
        <v>2204</v>
      </c>
      <c r="AU3">
        <v>1530</v>
      </c>
      <c r="AV3">
        <v>1866</v>
      </c>
      <c r="AW3">
        <v>151</v>
      </c>
      <c r="AX3">
        <v>322</v>
      </c>
      <c r="AY3">
        <v>941</v>
      </c>
      <c r="AZ3">
        <v>284</v>
      </c>
      <c r="BA3">
        <v>623</v>
      </c>
      <c r="BB3">
        <v>109</v>
      </c>
      <c r="BC3">
        <v>80</v>
      </c>
      <c r="BD3">
        <v>108</v>
      </c>
      <c r="BE3">
        <v>44</v>
      </c>
      <c r="BF3">
        <v>15</v>
      </c>
      <c r="BG3">
        <v>9</v>
      </c>
      <c r="BH3">
        <f>Table1[[#This Row],[O Shot assist]]+Table1[[#This Row],[O Play]]+Table1[[#This Row],[O Incomplete Play]]</f>
        <v>1673</v>
      </c>
      <c r="BI3">
        <v>652</v>
      </c>
      <c r="BJ3">
        <v>278</v>
      </c>
      <c r="BK3">
        <v>272</v>
      </c>
      <c r="BL3">
        <f>Table1[[#This Row],[O Goal]]+Table1[[#This Row],[O Blocked]]+Table1[[#This Row],[O Missed]]+Table1[[#This Row],[O Shot]]</f>
        <v>354</v>
      </c>
      <c r="BM3">
        <f>Table1[[#This Row],[O Goal]]+Table1[[#This Row],[O Missed]]+Table1[[#This Row],[O Shot]]</f>
        <v>246</v>
      </c>
      <c r="BN3">
        <f>Table1[[#This Row],[O Goal]]+Table1[[#This Row],[O Shot]]</f>
        <v>166</v>
      </c>
      <c r="BO3">
        <f>Table1[[#This Row],[O Goal]]</f>
        <v>15</v>
      </c>
      <c r="BP3">
        <f>Table1[[#This Row],[O Play]]+Table1[[#This Row],[O Shot assist]]</f>
        <v>1050</v>
      </c>
      <c r="BR3" t="s">
        <v>3</v>
      </c>
      <c r="BS3" s="13">
        <f>$AF$2/($AF$2+$BL$2)</f>
        <v>0.54632587859424919</v>
      </c>
      <c r="BT3" s="13">
        <f>$AF$3/($AF$3+$BL$3)</f>
        <v>0.40504201680672269</v>
      </c>
      <c r="BU3" s="13">
        <f>$AF$4/($AF$4+$BL$4)</f>
        <v>0.55958549222797926</v>
      </c>
      <c r="BV3" s="13">
        <f>$AF$5/($AF$5+$BL$5)</f>
        <v>0.40666666666666668</v>
      </c>
      <c r="BW3" s="13">
        <f>$AF$6/($AF$6+$BL$6)</f>
        <v>0.44846796657381616</v>
      </c>
      <c r="BX3" s="13">
        <f>$AF$7/($AF$7+$BL$7)</f>
        <v>0.5955056179775281</v>
      </c>
      <c r="BZ3" s="14">
        <f>SUMIFS(BS$3:BS$25,$BR$3:$BR$25,Cards!$AT$12)</f>
        <v>0.54632587859424919</v>
      </c>
      <c r="CA3" s="14">
        <f>$W$2/($W$2+$BF$2)</f>
        <v>0.59090909090909094</v>
      </c>
      <c r="CB3" s="14">
        <f>SUMIFS(BT$3:BT$25,$BR$3:$BR$25,Cards!$AT$12)</f>
        <v>0.40504201680672269</v>
      </c>
      <c r="CC3" s="14">
        <f>$W$3/($W$3+$BF$3)</f>
        <v>0.25</v>
      </c>
      <c r="CD3" s="14">
        <f>SUMIFS(BU$3:BU$25,$BR$3:$BR$25,Cards!$AT$12)</f>
        <v>0.55958549222797926</v>
      </c>
      <c r="CE3" s="14">
        <f>$W$4/($W$4+$BF$4)</f>
        <v>0.46666666666666667</v>
      </c>
      <c r="CF3" s="14">
        <f>SUMIFS(BV$3:BV$25,$BR$3:$BR$25,Cards!$AT$12)</f>
        <v>0.40666666666666668</v>
      </c>
      <c r="CG3" s="14">
        <f>$W$5/($W$5+$BF$5)</f>
        <v>0.625</v>
      </c>
      <c r="CH3" s="14">
        <f>SUMIFS(BW$3:BW$25,$BR$3:$BR$25,Cards!$AT$12)</f>
        <v>0.44846796657381616</v>
      </c>
      <c r="CI3" s="14">
        <f>$W$6/($W$6+$BF$6)</f>
        <v>0.55555555555555558</v>
      </c>
      <c r="CJ3" s="14">
        <f>SUMIFS(BX$3:BX$25,$BR$3:$BR$25,Cards!$AT$12)</f>
        <v>0.5955056179775281</v>
      </c>
      <c r="CK3" s="14">
        <f>$W$7/($W$7+$BF$7)</f>
        <v>0.61111111111111116</v>
      </c>
      <c r="CM3">
        <v>0</v>
      </c>
      <c r="CN3">
        <v>0.5</v>
      </c>
      <c r="CO3">
        <v>0.5</v>
      </c>
      <c r="CP3">
        <v>0</v>
      </c>
      <c r="CQ3">
        <v>0</v>
      </c>
      <c r="CR3">
        <v>0</v>
      </c>
    </row>
    <row r="4" spans="1:96" x14ac:dyDescent="0.3">
      <c r="A4" t="s">
        <v>9</v>
      </c>
      <c r="B4">
        <v>4</v>
      </c>
      <c r="C4">
        <v>855</v>
      </c>
      <c r="D4">
        <v>1784</v>
      </c>
      <c r="E4">
        <v>23658.309574731593</v>
      </c>
      <c r="F4">
        <v>39340.245890958169</v>
      </c>
      <c r="G4">
        <f>Table1[[#This Row],[Pass dist]]/Table1[[#This Row],[Carry dist]]</f>
        <v>1.6628510911437124</v>
      </c>
      <c r="H4">
        <v>3234</v>
      </c>
      <c r="I4">
        <f>Table1[[#This Row],[Possession time]]/Table1[[#This Row],[Team possessions]]</f>
        <v>3.7824561403508774</v>
      </c>
      <c r="J4">
        <f>Table1[[#This Row],[Player possessions]]/Table1[[#This Row],[Team possessions]]</f>
        <v>2.0865497076023392</v>
      </c>
      <c r="K4">
        <v>1550</v>
      </c>
      <c r="L4">
        <v>817</v>
      </c>
      <c r="M4">
        <v>867</v>
      </c>
      <c r="N4">
        <v>106</v>
      </c>
      <c r="O4">
        <v>168</v>
      </c>
      <c r="P4">
        <v>619</v>
      </c>
      <c r="Q4">
        <v>203</v>
      </c>
      <c r="R4">
        <v>464</v>
      </c>
      <c r="S4">
        <v>61</v>
      </c>
      <c r="T4">
        <v>40</v>
      </c>
      <c r="U4">
        <v>63</v>
      </c>
      <c r="V4">
        <v>43</v>
      </c>
      <c r="W4">
        <v>7</v>
      </c>
      <c r="X4">
        <v>10</v>
      </c>
      <c r="Y4">
        <f>Table1[[#This Row],[Play]]+Table1[[#This Row],[Incomplete Play]]+Table1[[#This Row],[Shot assist]]</f>
        <v>1144</v>
      </c>
      <c r="Z4">
        <v>483</v>
      </c>
      <c r="AA4">
        <v>171</v>
      </c>
      <c r="AB4">
        <v>201</v>
      </c>
      <c r="AC4">
        <f>Table1[[#This Row],[Def zone start]]/(Table1[[#This Row],[Def zone start]]+Table1[[#This Row],[Neu zone start]]+Table1[[#This Row],[Off zone start]])</f>
        <v>0.56491228070175437</v>
      </c>
      <c r="AD4">
        <f>Table1[[#This Row],[Neu zone start]]/(Table1[[#This Row],[Def zone start]]+Table1[[#This Row],[Neu zone start]]+Table1[[#This Row],[Off zone start]])</f>
        <v>0.2</v>
      </c>
      <c r="AE4">
        <f>Table1[[#This Row],[Off zone start]]/(Table1[[#This Row],[Def zone start]]+Table1[[#This Row],[Neu zone start]]+Table1[[#This Row],[Off zone start]])</f>
        <v>0.23508771929824562</v>
      </c>
      <c r="AF4">
        <f>Table1[[#This Row],[Goal]]+Table1[[#This Row],[Blocked]]+Table1[[#This Row],[Missed]]+Table1[[#This Row],[Shot]]</f>
        <v>216</v>
      </c>
      <c r="AG4">
        <f>Table1[[#This Row],[Goal]]+Table1[[#This Row],[Missed]]+Table1[[#This Row],[Shot]]</f>
        <v>153</v>
      </c>
      <c r="AH4">
        <f>Table1[[#This Row],[Goal]]+Table1[[#This Row],[Shot]]</f>
        <v>113</v>
      </c>
      <c r="AI4">
        <f>Table1[[#This Row],[Goal]]</f>
        <v>7</v>
      </c>
      <c r="AJ4">
        <f>Table1[[#This Row],[Play]]+Table1[[#This Row],[Shot assist]]</f>
        <v>680</v>
      </c>
      <c r="AK4">
        <v>1.7031963470319635</v>
      </c>
      <c r="AL4">
        <v>851</v>
      </c>
      <c r="AM4">
        <v>1819</v>
      </c>
      <c r="AN4">
        <v>25811.078399002035</v>
      </c>
      <c r="AO4">
        <v>41575.171587563011</v>
      </c>
      <c r="AP4">
        <f>Table1[[#This Row],[O Pass dist]]/Table1[[#This Row],[O Carry dist]]</f>
        <v>1.6107491110937264</v>
      </c>
      <c r="AQ4">
        <v>3709</v>
      </c>
      <c r="AR4">
        <f>Table1[[#This Row],[O Possession time]]/Table1[[#This Row],[O Team possessions]]</f>
        <v>4.3584018801410105</v>
      </c>
      <c r="AS4">
        <f>Table1[[#This Row],[O Player possessions]]/Table1[[#This Row],[O Team possessions]]</f>
        <v>2.137485311398355</v>
      </c>
      <c r="AT4">
        <v>1645</v>
      </c>
      <c r="AU4">
        <v>990</v>
      </c>
      <c r="AV4">
        <v>1074</v>
      </c>
      <c r="AW4">
        <v>68</v>
      </c>
      <c r="AX4">
        <v>222</v>
      </c>
      <c r="AY4">
        <v>661</v>
      </c>
      <c r="AZ4">
        <v>221</v>
      </c>
      <c r="BA4">
        <v>447</v>
      </c>
      <c r="BB4">
        <v>62</v>
      </c>
      <c r="BC4">
        <v>34</v>
      </c>
      <c r="BD4">
        <v>60</v>
      </c>
      <c r="BE4">
        <v>35</v>
      </c>
      <c r="BF4">
        <v>8</v>
      </c>
      <c r="BG4">
        <v>1</v>
      </c>
      <c r="BH4">
        <f>Table1[[#This Row],[O Shot assist]]+Table1[[#This Row],[O Play]]+Table1[[#This Row],[O Incomplete Play]]</f>
        <v>1170</v>
      </c>
      <c r="BI4">
        <v>474</v>
      </c>
      <c r="BJ4">
        <v>203</v>
      </c>
      <c r="BK4">
        <v>174</v>
      </c>
      <c r="BL4">
        <f>Table1[[#This Row],[O Goal]]+Table1[[#This Row],[O Blocked]]+Table1[[#This Row],[O Missed]]+Table1[[#This Row],[O Shot]]</f>
        <v>170</v>
      </c>
      <c r="BM4">
        <f>Table1[[#This Row],[O Goal]]+Table1[[#This Row],[O Missed]]+Table1[[#This Row],[O Shot]]</f>
        <v>110</v>
      </c>
      <c r="BN4">
        <f>Table1[[#This Row],[O Goal]]+Table1[[#This Row],[O Shot]]</f>
        <v>76</v>
      </c>
      <c r="BO4">
        <f>Table1[[#This Row],[O Goal]]</f>
        <v>8</v>
      </c>
      <c r="BP4">
        <f>Table1[[#This Row],[O Play]]+Table1[[#This Row],[O Shot assist]]</f>
        <v>723</v>
      </c>
      <c r="BR4" t="s">
        <v>4</v>
      </c>
      <c r="BS4" s="13">
        <f>$AG$2/($AG$2+$BM$2)</f>
        <v>0.54932735426008972</v>
      </c>
      <c r="BT4" s="13">
        <f>$AG$3/($AG$3+$BM$3)</f>
        <v>0.41007194244604317</v>
      </c>
      <c r="BU4" s="13">
        <f>$AG$4/($AG$4+$BM$4)</f>
        <v>0.58174904942965777</v>
      </c>
      <c r="BV4" s="13">
        <f>$AG$5/($AG$5+$BM$5)</f>
        <v>0.38647342995169082</v>
      </c>
      <c r="BW4" s="13">
        <f>$AG$6/($AG$6+$BM$6)</f>
        <v>0.44776119402985076</v>
      </c>
      <c r="BX4" s="13">
        <f>$AG$7/($AG$7+$BM$7)</f>
        <v>0.58399999999999996</v>
      </c>
      <c r="CM4">
        <v>1</v>
      </c>
      <c r="CN4">
        <v>0.5</v>
      </c>
      <c r="CO4">
        <v>0.5</v>
      </c>
      <c r="CP4">
        <v>1</v>
      </c>
      <c r="CQ4">
        <v>1</v>
      </c>
      <c r="CR4">
        <v>1</v>
      </c>
    </row>
    <row r="5" spans="1:96" x14ac:dyDescent="0.3">
      <c r="A5" t="s">
        <v>10</v>
      </c>
      <c r="B5">
        <v>3</v>
      </c>
      <c r="C5">
        <v>601</v>
      </c>
      <c r="D5">
        <v>1293</v>
      </c>
      <c r="E5">
        <v>16893.444316439061</v>
      </c>
      <c r="F5">
        <v>30138.40805337609</v>
      </c>
      <c r="G5">
        <f>Table1[[#This Row],[Pass dist]]/Table1[[#This Row],[Carry dist]]</f>
        <v>1.7840297981180968</v>
      </c>
      <c r="H5">
        <v>2610</v>
      </c>
      <c r="I5">
        <f>Table1[[#This Row],[Possession time]]/Table1[[#This Row],[Team possessions]]</f>
        <v>4.3427620632279531</v>
      </c>
      <c r="J5">
        <f>Table1[[#This Row],[Player possessions]]/Table1[[#This Row],[Team possessions]]</f>
        <v>2.1514143094841929</v>
      </c>
      <c r="K5">
        <v>1251</v>
      </c>
      <c r="L5">
        <v>713</v>
      </c>
      <c r="M5">
        <v>646</v>
      </c>
      <c r="N5">
        <v>56</v>
      </c>
      <c r="O5">
        <v>161</v>
      </c>
      <c r="P5">
        <v>483</v>
      </c>
      <c r="Q5">
        <v>173</v>
      </c>
      <c r="R5">
        <v>278</v>
      </c>
      <c r="S5">
        <v>46</v>
      </c>
      <c r="T5">
        <v>19</v>
      </c>
      <c r="U5">
        <v>42</v>
      </c>
      <c r="V5">
        <v>30</v>
      </c>
      <c r="W5">
        <v>5</v>
      </c>
      <c r="X5">
        <v>0</v>
      </c>
      <c r="Y5">
        <f>Table1[[#This Row],[Play]]+Table1[[#This Row],[Incomplete Play]]+Table1[[#This Row],[Shot assist]]</f>
        <v>807</v>
      </c>
      <c r="Z5">
        <v>372</v>
      </c>
      <c r="AA5">
        <v>122</v>
      </c>
      <c r="AB5">
        <v>107</v>
      </c>
      <c r="AC5">
        <f>Table1[[#This Row],[Def zone start]]/(Table1[[#This Row],[Def zone start]]+Table1[[#This Row],[Neu zone start]]+Table1[[#This Row],[Off zone start]])</f>
        <v>0.61896838602329451</v>
      </c>
      <c r="AD5">
        <f>Table1[[#This Row],[Neu zone start]]/(Table1[[#This Row],[Def zone start]]+Table1[[#This Row],[Neu zone start]]+Table1[[#This Row],[Off zone start]])</f>
        <v>0.20299500831946754</v>
      </c>
      <c r="AE5">
        <f>Table1[[#This Row],[Off zone start]]/(Table1[[#This Row],[Def zone start]]+Table1[[#This Row],[Neu zone start]]+Table1[[#This Row],[Off zone start]])</f>
        <v>0.17803660565723795</v>
      </c>
      <c r="AF5">
        <f>Table1[[#This Row],[Goal]]+Table1[[#This Row],[Blocked]]+Table1[[#This Row],[Missed]]+Table1[[#This Row],[Shot]]</f>
        <v>122</v>
      </c>
      <c r="AG5">
        <f>Table1[[#This Row],[Goal]]+Table1[[#This Row],[Missed]]+Table1[[#This Row],[Shot]]</f>
        <v>80</v>
      </c>
      <c r="AH5">
        <f>Table1[[#This Row],[Goal]]+Table1[[#This Row],[Shot]]</f>
        <v>61</v>
      </c>
      <c r="AI5">
        <f>Table1[[#This Row],[Goal]]</f>
        <v>5</v>
      </c>
      <c r="AJ5">
        <f>Table1[[#This Row],[Play]]+Table1[[#This Row],[Shot assist]]</f>
        <v>529</v>
      </c>
      <c r="AK5">
        <v>2.0960000000000001</v>
      </c>
      <c r="AL5">
        <v>615</v>
      </c>
      <c r="AM5">
        <v>1338</v>
      </c>
      <c r="AN5">
        <v>18886.149092918757</v>
      </c>
      <c r="AO5">
        <v>29809.272339212388</v>
      </c>
      <c r="AP5">
        <f>Table1[[#This Row],[O Pass dist]]/Table1[[#This Row],[O Carry dist]]</f>
        <v>1.5783668863648432</v>
      </c>
      <c r="AQ5">
        <v>2820</v>
      </c>
      <c r="AR5">
        <f>Table1[[#This Row],[O Possession time]]/Table1[[#This Row],[O Team possessions]]</f>
        <v>4.5853658536585362</v>
      </c>
      <c r="AS5">
        <f>Table1[[#This Row],[O Player possessions]]/Table1[[#This Row],[O Team possessions]]</f>
        <v>2.1756097560975611</v>
      </c>
      <c r="AT5">
        <v>1240</v>
      </c>
      <c r="AU5">
        <v>767</v>
      </c>
      <c r="AV5">
        <v>813</v>
      </c>
      <c r="AW5">
        <v>95</v>
      </c>
      <c r="AX5">
        <v>166</v>
      </c>
      <c r="AY5">
        <v>478</v>
      </c>
      <c r="AZ5">
        <v>127</v>
      </c>
      <c r="BA5">
        <v>292</v>
      </c>
      <c r="BB5">
        <v>64</v>
      </c>
      <c r="BC5">
        <v>29</v>
      </c>
      <c r="BD5">
        <v>51</v>
      </c>
      <c r="BE5">
        <v>27</v>
      </c>
      <c r="BF5">
        <v>3</v>
      </c>
      <c r="BG5">
        <v>6</v>
      </c>
      <c r="BH5">
        <f>Table1[[#This Row],[O Shot assist]]+Table1[[#This Row],[O Play]]+Table1[[#This Row],[O Incomplete Play]]</f>
        <v>834</v>
      </c>
      <c r="BI5">
        <v>316</v>
      </c>
      <c r="BJ5">
        <v>143</v>
      </c>
      <c r="BK5">
        <v>156</v>
      </c>
      <c r="BL5">
        <f>Table1[[#This Row],[O Goal]]+Table1[[#This Row],[O Blocked]]+Table1[[#This Row],[O Missed]]+Table1[[#This Row],[O Shot]]</f>
        <v>178</v>
      </c>
      <c r="BM5">
        <f>Table1[[#This Row],[O Goal]]+Table1[[#This Row],[O Missed]]+Table1[[#This Row],[O Shot]]</f>
        <v>127</v>
      </c>
      <c r="BN5">
        <f>Table1[[#This Row],[O Goal]]+Table1[[#This Row],[O Shot]]</f>
        <v>98</v>
      </c>
      <c r="BO5">
        <f>Table1[[#This Row],[O Goal]]</f>
        <v>3</v>
      </c>
      <c r="BP5">
        <f>Table1[[#This Row],[O Play]]+Table1[[#This Row],[O Shot assist]]</f>
        <v>542</v>
      </c>
      <c r="BR5" t="s">
        <v>5</v>
      </c>
      <c r="BS5" s="13">
        <f>$AH$2/($AH$2+$BN$2)</f>
        <v>0.53448275862068961</v>
      </c>
      <c r="BT5" s="13">
        <f>$AH$3/($AH$3+$BN$3)</f>
        <v>0.40925266903914592</v>
      </c>
      <c r="BU5" s="13">
        <f>$AH$4/($AH$4+$BN$4)</f>
        <v>0.59788359788359791</v>
      </c>
      <c r="BV5" s="13">
        <f>$AH$5/($AH$5+$BN$5)</f>
        <v>0.38364779874213839</v>
      </c>
      <c r="BW5" s="13">
        <f>$AH$6/($AH$6+$BN$6)</f>
        <v>0.44680851063829785</v>
      </c>
      <c r="BX5" s="13">
        <f>$AH$7/($AH$7+$BN$7)</f>
        <v>0.5962264150943396</v>
      </c>
    </row>
    <row r="6" spans="1:96" x14ac:dyDescent="0.3">
      <c r="A6" t="s">
        <v>11</v>
      </c>
      <c r="B6">
        <v>4</v>
      </c>
      <c r="C6">
        <v>688</v>
      </c>
      <c r="D6">
        <v>1460</v>
      </c>
      <c r="E6">
        <v>20035.187592549435</v>
      </c>
      <c r="F6">
        <v>34824.670392523803</v>
      </c>
      <c r="G6">
        <f>Table1[[#This Row],[Pass dist]]/Table1[[#This Row],[Carry dist]]</f>
        <v>1.7381754092222321</v>
      </c>
      <c r="H6">
        <v>2908</v>
      </c>
      <c r="I6">
        <f>Table1[[#This Row],[Possession time]]/Table1[[#This Row],[Team possessions]]</f>
        <v>4.2267441860465116</v>
      </c>
      <c r="J6">
        <f>Table1[[#This Row],[Player possessions]]/Table1[[#This Row],[Team possessions]]</f>
        <v>2.1220930232558142</v>
      </c>
      <c r="K6">
        <v>1414</v>
      </c>
      <c r="L6">
        <v>843</v>
      </c>
      <c r="M6">
        <v>651</v>
      </c>
      <c r="N6">
        <v>79</v>
      </c>
      <c r="O6">
        <v>187</v>
      </c>
      <c r="P6">
        <v>522</v>
      </c>
      <c r="Q6">
        <v>141</v>
      </c>
      <c r="R6">
        <v>358</v>
      </c>
      <c r="S6">
        <v>64</v>
      </c>
      <c r="T6">
        <v>36</v>
      </c>
      <c r="U6">
        <v>41</v>
      </c>
      <c r="V6">
        <v>25</v>
      </c>
      <c r="W6">
        <v>5</v>
      </c>
      <c r="X6">
        <v>2</v>
      </c>
      <c r="Y6">
        <f>Table1[[#This Row],[Play]]+Table1[[#This Row],[Incomplete Play]]+Table1[[#This Row],[Shot assist]]</f>
        <v>944</v>
      </c>
      <c r="Z6">
        <v>424</v>
      </c>
      <c r="AA6">
        <v>138</v>
      </c>
      <c r="AB6">
        <v>126</v>
      </c>
      <c r="AC6">
        <f>Table1[[#This Row],[Def zone start]]/(Table1[[#This Row],[Def zone start]]+Table1[[#This Row],[Neu zone start]]+Table1[[#This Row],[Off zone start]])</f>
        <v>0.61627906976744184</v>
      </c>
      <c r="AD6">
        <f>Table1[[#This Row],[Neu zone start]]/(Table1[[#This Row],[Def zone start]]+Table1[[#This Row],[Neu zone start]]+Table1[[#This Row],[Off zone start]])</f>
        <v>0.2005813953488372</v>
      </c>
      <c r="AE6">
        <f>Table1[[#This Row],[Off zone start]]/(Table1[[#This Row],[Def zone start]]+Table1[[#This Row],[Neu zone start]]+Table1[[#This Row],[Off zone start]])</f>
        <v>0.18313953488372092</v>
      </c>
      <c r="AF6">
        <f>Table1[[#This Row],[Goal]]+Table1[[#This Row],[Blocked]]+Table1[[#This Row],[Missed]]+Table1[[#This Row],[Shot]]</f>
        <v>161</v>
      </c>
      <c r="AG6">
        <f>Table1[[#This Row],[Goal]]+Table1[[#This Row],[Missed]]+Table1[[#This Row],[Shot]]</f>
        <v>120</v>
      </c>
      <c r="AH6">
        <f>Table1[[#This Row],[Goal]]+Table1[[#This Row],[Shot]]</f>
        <v>84</v>
      </c>
      <c r="AI6">
        <f>Table1[[#This Row],[Goal]]</f>
        <v>5</v>
      </c>
      <c r="AJ6">
        <f>Table1[[#This Row],[Play]]+Table1[[#This Row],[Shot assist]]</f>
        <v>586</v>
      </c>
      <c r="AK6">
        <v>1.834355828220859</v>
      </c>
      <c r="AL6">
        <v>709</v>
      </c>
      <c r="AM6">
        <v>1637</v>
      </c>
      <c r="AN6">
        <v>24413.772331638909</v>
      </c>
      <c r="AO6">
        <v>37434.978393059137</v>
      </c>
      <c r="AP6">
        <f>Table1[[#This Row],[O Pass dist]]/Table1[[#This Row],[O Carry dist]]</f>
        <v>1.5333549393571373</v>
      </c>
      <c r="AQ6">
        <v>3606</v>
      </c>
      <c r="AR6">
        <f>Table1[[#This Row],[O Possession time]]/Table1[[#This Row],[O Team possessions]]</f>
        <v>5.0860366713681238</v>
      </c>
      <c r="AS6">
        <f>Table1[[#This Row],[O Player possessions]]/Table1[[#This Row],[O Team possessions]]</f>
        <v>2.3088857545839212</v>
      </c>
      <c r="AT6">
        <v>1431</v>
      </c>
      <c r="AU6">
        <v>864</v>
      </c>
      <c r="AV6">
        <v>1311</v>
      </c>
      <c r="AW6">
        <v>100</v>
      </c>
      <c r="AX6">
        <v>205</v>
      </c>
      <c r="AY6">
        <v>608</v>
      </c>
      <c r="AZ6">
        <v>153</v>
      </c>
      <c r="BA6">
        <v>368</v>
      </c>
      <c r="BB6">
        <v>68</v>
      </c>
      <c r="BC6">
        <v>44</v>
      </c>
      <c r="BD6">
        <v>50</v>
      </c>
      <c r="BE6">
        <v>36</v>
      </c>
      <c r="BF6">
        <v>4</v>
      </c>
      <c r="BG6">
        <v>1</v>
      </c>
      <c r="BH6">
        <f>Table1[[#This Row],[O Shot assist]]+Table1[[#This Row],[O Play]]+Table1[[#This Row],[O Incomplete Play]]</f>
        <v>1044</v>
      </c>
      <c r="BI6">
        <v>363</v>
      </c>
      <c r="BJ6">
        <v>161</v>
      </c>
      <c r="BK6">
        <v>185</v>
      </c>
      <c r="BL6">
        <f>Table1[[#This Row],[O Goal]]+Table1[[#This Row],[O Blocked]]+Table1[[#This Row],[O Missed]]+Table1[[#This Row],[O Shot]]</f>
        <v>198</v>
      </c>
      <c r="BM6">
        <f>Table1[[#This Row],[O Goal]]+Table1[[#This Row],[O Missed]]+Table1[[#This Row],[O Shot]]</f>
        <v>148</v>
      </c>
      <c r="BN6">
        <f>Table1[[#This Row],[O Goal]]+Table1[[#This Row],[O Shot]]</f>
        <v>104</v>
      </c>
      <c r="BO6">
        <f>Table1[[#This Row],[O Goal]]</f>
        <v>4</v>
      </c>
      <c r="BP6">
        <f>Table1[[#This Row],[O Play]]+Table1[[#This Row],[O Shot assist]]</f>
        <v>676</v>
      </c>
      <c r="BR6" t="s">
        <v>21</v>
      </c>
      <c r="BS6" s="13">
        <f>$AJ$2/($AJ$2+$BP$2)</f>
        <v>0.53462603878116344</v>
      </c>
      <c r="BT6" s="13">
        <f>$AJ$3/($AJ$3+$BP$3)</f>
        <v>0.46319018404907975</v>
      </c>
      <c r="BU6" s="13">
        <f>$AJ$4/($AJ$4+$BP$4)</f>
        <v>0.48467569493941554</v>
      </c>
      <c r="BV6" s="13">
        <f>$AJ$5/($AJ$5+$BP$5)</f>
        <v>0.4939309056956116</v>
      </c>
      <c r="BW6" s="13">
        <f>$AJ$6/($AJ$6+$BP$6)</f>
        <v>0.46434231378763868</v>
      </c>
      <c r="BX6" s="13">
        <f>$AJ$7/($AJ$7+$BP$7)</f>
        <v>0.53482587064676612</v>
      </c>
    </row>
    <row r="7" spans="1:96" x14ac:dyDescent="0.3">
      <c r="A7" t="s">
        <v>12</v>
      </c>
      <c r="B7">
        <v>6</v>
      </c>
      <c r="C7">
        <v>1130</v>
      </c>
      <c r="D7">
        <v>2575</v>
      </c>
      <c r="E7">
        <v>40299.103222691432</v>
      </c>
      <c r="F7">
        <v>58135.171050618017</v>
      </c>
      <c r="G7">
        <f>Table1[[#This Row],[Pass dist]]/Table1[[#This Row],[Carry dist]]</f>
        <v>1.442592177035928</v>
      </c>
      <c r="H7">
        <v>5668</v>
      </c>
      <c r="I7">
        <f>Table1[[#This Row],[Possession time]]/Table1[[#This Row],[Team possessions]]</f>
        <v>5.0159292035398231</v>
      </c>
      <c r="J7">
        <f>Table1[[#This Row],[Player possessions]]/Table1[[#This Row],[Team possessions]]</f>
        <v>2.2787610619469025</v>
      </c>
      <c r="K7">
        <v>2301</v>
      </c>
      <c r="L7">
        <v>1339</v>
      </c>
      <c r="M7">
        <v>2028</v>
      </c>
      <c r="N7">
        <v>147</v>
      </c>
      <c r="O7">
        <v>274</v>
      </c>
      <c r="P7">
        <v>975</v>
      </c>
      <c r="Q7">
        <v>266</v>
      </c>
      <c r="R7">
        <v>572</v>
      </c>
      <c r="S7">
        <v>100</v>
      </c>
      <c r="T7">
        <v>61</v>
      </c>
      <c r="U7">
        <v>99</v>
      </c>
      <c r="V7">
        <v>64</v>
      </c>
      <c r="W7">
        <v>11</v>
      </c>
      <c r="X7">
        <v>6</v>
      </c>
      <c r="Y7">
        <f>Table1[[#This Row],[Play]]+Table1[[#This Row],[Incomplete Play]]+Table1[[#This Row],[Shot assist]]</f>
        <v>1647</v>
      </c>
      <c r="Z7">
        <v>555</v>
      </c>
      <c r="AA7">
        <v>284</v>
      </c>
      <c r="AB7">
        <v>291</v>
      </c>
      <c r="AC7">
        <f>Table1[[#This Row],[Def zone start]]/(Table1[[#This Row],[Def zone start]]+Table1[[#This Row],[Neu zone start]]+Table1[[#This Row],[Off zone start]])</f>
        <v>0.49115044247787609</v>
      </c>
      <c r="AD7">
        <f>Table1[[#This Row],[Neu zone start]]/(Table1[[#This Row],[Def zone start]]+Table1[[#This Row],[Neu zone start]]+Table1[[#This Row],[Off zone start]])</f>
        <v>0.25132743362831861</v>
      </c>
      <c r="AE7">
        <f>Table1[[#This Row],[Off zone start]]/(Table1[[#This Row],[Def zone start]]+Table1[[#This Row],[Neu zone start]]+Table1[[#This Row],[Off zone start]])</f>
        <v>0.2575221238938053</v>
      </c>
      <c r="AF7">
        <f>Table1[[#This Row],[Goal]]+Table1[[#This Row],[Blocked]]+Table1[[#This Row],[Missed]]+Table1[[#This Row],[Shot]]</f>
        <v>318</v>
      </c>
      <c r="AG7">
        <f>Table1[[#This Row],[Goal]]+Table1[[#This Row],[Missed]]+Table1[[#This Row],[Shot]]</f>
        <v>219</v>
      </c>
      <c r="AH7">
        <f>Table1[[#This Row],[Goal]]+Table1[[#This Row],[Shot]]</f>
        <v>158</v>
      </c>
      <c r="AI7">
        <f>Table1[[#This Row],[Goal]]</f>
        <v>11</v>
      </c>
      <c r="AJ7">
        <f>Table1[[#This Row],[Play]]+Table1[[#This Row],[Shot assist]]</f>
        <v>1075</v>
      </c>
      <c r="AK7">
        <v>2.1226415094339623</v>
      </c>
      <c r="AL7">
        <v>1076</v>
      </c>
      <c r="AM7">
        <v>2285</v>
      </c>
      <c r="AN7">
        <v>29156.238630882021</v>
      </c>
      <c r="AO7">
        <v>52712.243875324704</v>
      </c>
      <c r="AP7">
        <f>Table1[[#This Row],[O Pass dist]]/Table1[[#This Row],[O Carry dist]]</f>
        <v>1.807923324495375</v>
      </c>
      <c r="AQ7">
        <v>4492</v>
      </c>
      <c r="AR7">
        <f>Table1[[#This Row],[O Possession time]]/Table1[[#This Row],[O Team possessions]]</f>
        <v>4.1747211895910779</v>
      </c>
      <c r="AS7">
        <f>Table1[[#This Row],[O Player possessions]]/Table1[[#This Row],[O Team possessions]]</f>
        <v>2.1236059479553901</v>
      </c>
      <c r="AT7">
        <v>2242</v>
      </c>
      <c r="AU7">
        <v>1287</v>
      </c>
      <c r="AV7">
        <v>963</v>
      </c>
      <c r="AW7">
        <v>100</v>
      </c>
      <c r="AX7">
        <v>291</v>
      </c>
      <c r="AY7">
        <v>853</v>
      </c>
      <c r="AZ7">
        <v>273</v>
      </c>
      <c r="BA7">
        <v>523</v>
      </c>
      <c r="BB7">
        <v>82</v>
      </c>
      <c r="BC7">
        <v>49</v>
      </c>
      <c r="BD7">
        <v>60</v>
      </c>
      <c r="BE7">
        <v>41</v>
      </c>
      <c r="BF7">
        <v>7</v>
      </c>
      <c r="BG7">
        <v>6</v>
      </c>
      <c r="BH7">
        <f>Table1[[#This Row],[O Shot assist]]+Table1[[#This Row],[O Play]]+Table1[[#This Row],[O Incomplete Play]]</f>
        <v>1458</v>
      </c>
      <c r="BI7">
        <v>687</v>
      </c>
      <c r="BJ7">
        <v>192</v>
      </c>
      <c r="BK7">
        <v>197</v>
      </c>
      <c r="BL7">
        <f>Table1[[#This Row],[O Goal]]+Table1[[#This Row],[O Blocked]]+Table1[[#This Row],[O Missed]]+Table1[[#This Row],[O Shot]]</f>
        <v>216</v>
      </c>
      <c r="BM7">
        <f>Table1[[#This Row],[O Goal]]+Table1[[#This Row],[O Missed]]+Table1[[#This Row],[O Shot]]</f>
        <v>156</v>
      </c>
      <c r="BN7">
        <f>Table1[[#This Row],[O Goal]]+Table1[[#This Row],[O Shot]]</f>
        <v>107</v>
      </c>
      <c r="BO7">
        <f>Table1[[#This Row],[O Goal]]</f>
        <v>7</v>
      </c>
      <c r="BP7">
        <f>Table1[[#This Row],[O Play]]+Table1[[#This Row],[O Shot assist]]</f>
        <v>935</v>
      </c>
      <c r="BR7" t="s">
        <v>97</v>
      </c>
      <c r="BS7" s="13">
        <f>$H$2/($H$2+$AQ$2)</f>
        <v>0.54880751839702102</v>
      </c>
      <c r="BT7" s="13">
        <f>$H$3/($H$3+$AQ$3)</f>
        <v>0.45662720745196972</v>
      </c>
      <c r="BU7" s="13">
        <f>$H$4/($H$4+$AQ$4)</f>
        <v>0.46579288492006338</v>
      </c>
      <c r="BV7" s="13">
        <f>$H$5/($H$5+$AQ$5)</f>
        <v>0.48066298342541436</v>
      </c>
      <c r="BW7" s="13">
        <f>$H$6/($H$6+$AQ$6)</f>
        <v>0.4464230887319619</v>
      </c>
      <c r="BX7" s="13">
        <f>$H$7/($H$7+$AQ$7)</f>
        <v>0.55787401574803153</v>
      </c>
    </row>
    <row r="8" spans="1:96" x14ac:dyDescent="0.3">
      <c r="BR8" t="s">
        <v>98</v>
      </c>
      <c r="BS8" s="13">
        <f>$I$2/($I$2+$AR$2)</f>
        <v>0.54343827900210828</v>
      </c>
      <c r="BT8" s="13">
        <f>$I$3/($I$3+$AR$3)</f>
        <v>0.46718696986705766</v>
      </c>
      <c r="BU8" s="13">
        <f>$I$4/($I$4+$AR$4)</f>
        <v>0.46462622623190447</v>
      </c>
      <c r="BV8" s="13">
        <f>$I$5/($I$5+$AR$5)</f>
        <v>0.48641351285011686</v>
      </c>
      <c r="BW8" s="13">
        <f>$I$6/($I$6+$AR$6)</f>
        <v>0.45386488211856385</v>
      </c>
      <c r="BX8" s="13">
        <f>$I$7/($I$7+$AR$7)</f>
        <v>0.54576433538248081</v>
      </c>
    </row>
    <row r="9" spans="1:96" x14ac:dyDescent="0.3">
      <c r="B9">
        <f>SUM(B2:B8)</f>
        <v>30</v>
      </c>
      <c r="C9">
        <f>SUM(C2:C8)</f>
        <v>5686</v>
      </c>
      <c r="D9">
        <f>SUM(Table1[Player possessions])/SUM(Table1[Team possessions])</f>
        <v>2.1716496658459374</v>
      </c>
      <c r="E9">
        <f>SUM(E2:E8)/C9</f>
        <v>31.158402526670155</v>
      </c>
      <c r="F9">
        <f>SUM(F2:F8)/C9</f>
        <v>49.421396501830451</v>
      </c>
      <c r="G9">
        <f>SUM(Table1[Pass dist])/SUM(Table1[Carry dist])</f>
        <v>1.5861338353122569</v>
      </c>
      <c r="I9">
        <f>SUM(Table1[Possession time])/SUM(Table1[Team possessions])</f>
        <v>4.4523390784382695</v>
      </c>
      <c r="J9">
        <f>SUM(Table1[PassF])/SUM(Table1[Passes])</f>
        <v>0.63038201098760704</v>
      </c>
      <c r="K9">
        <f>SUM(Table1[CF])/SUM(Table1[GP])</f>
        <v>46.666666666666664</v>
      </c>
      <c r="L9">
        <f>SUM(Table1[GF])/SUM(Table1[CF])</f>
        <v>3.2857142857142856E-2</v>
      </c>
      <c r="M9">
        <f>AVERAGE(Table1[Shot time])</f>
        <v>1.9506664929579156</v>
      </c>
      <c r="N9">
        <f>SUM(Table1[Def zone start])/(SUM(Table1[Def zone start])+SUM(Table1[Neu zone start])+SUM(Table1[Off zone start]))</f>
        <v>0.56683081252198386</v>
      </c>
      <c r="O9">
        <f>SUM(Table1[Neu zone start])/(SUM(Table1[Def zone start])+SUM(Table1[Neu zone start])+SUM(Table1[Off zone start]))</f>
        <v>0.21790362293352092</v>
      </c>
      <c r="P9">
        <f>SUM(Table1[Off zone start])/(SUM(Table1[Def zone start])+SUM(Table1[Neu zone start])+SUM(Table1[Off zone start]))</f>
        <v>0.21526556454449525</v>
      </c>
      <c r="Y9">
        <f>SUM(Table1[Passes])/SUM(Table1[GP])</f>
        <v>260.89999999999998</v>
      </c>
      <c r="BR9" t="s">
        <v>99</v>
      </c>
      <c r="BS9" s="13">
        <f>$E$2/($E$2+$AN$2)</f>
        <v>0.54299058822840918</v>
      </c>
      <c r="BT9" s="13">
        <f>$E$3/($E$3+$AN$3)</f>
        <v>0.43582098777424666</v>
      </c>
      <c r="BU9" s="13">
        <f>$E$4/($E$4+$AN$4)</f>
        <v>0.47824140430630074</v>
      </c>
      <c r="BV9" s="13">
        <f>$E$5/($E$5+$AN$5)</f>
        <v>0.47215305448442407</v>
      </c>
      <c r="BW9" s="13">
        <f>$E$6/($E$6+$AN$6)</f>
        <v>0.45074592581516487</v>
      </c>
      <c r="BX9" s="13">
        <f>$E$7/($E$7+$AN$7)</f>
        <v>0.58021603734454963</v>
      </c>
    </row>
    <row r="10" spans="1:96" x14ac:dyDescent="0.3">
      <c r="C10">
        <f>C9/B9</f>
        <v>189.53333333333333</v>
      </c>
      <c r="BR10" t="s">
        <v>100</v>
      </c>
      <c r="BS10" s="13">
        <f>$F$2/($F$2+$AO$2)</f>
        <v>0.54829830825361658</v>
      </c>
      <c r="BT10" s="13">
        <f>$F$3/($F$3+$AO$3)</f>
        <v>0.44273099845737701</v>
      </c>
      <c r="BU10" s="13">
        <f>$F$4/($F$4+$AO$4)</f>
        <v>0.48618974129869563</v>
      </c>
      <c r="BV10" s="13">
        <f>$F$5/($F$5+$AO$5)</f>
        <v>0.5027451914069756</v>
      </c>
      <c r="BW10" s="13">
        <f>$F$6/($F$6+$AO$6)</f>
        <v>0.48193799690141764</v>
      </c>
      <c r="BX10" s="13">
        <f>$F$7/($F$7+$AO$7)</f>
        <v>0.52446122527492578</v>
      </c>
    </row>
    <row r="11" spans="1:96" x14ac:dyDescent="0.3">
      <c r="C11" t="s">
        <v>107</v>
      </c>
      <c r="D11" t="s">
        <v>110</v>
      </c>
      <c r="E11" t="s">
        <v>108</v>
      </c>
      <c r="F11" t="s">
        <v>109</v>
      </c>
      <c r="G11" t="s">
        <v>76</v>
      </c>
      <c r="I11" t="s">
        <v>90</v>
      </c>
      <c r="J11" t="s">
        <v>20</v>
      </c>
      <c r="K11" t="s">
        <v>94</v>
      </c>
      <c r="L11" t="s">
        <v>29</v>
      </c>
      <c r="M11" t="s">
        <v>30</v>
      </c>
      <c r="N11" t="s">
        <v>104</v>
      </c>
      <c r="O11" t="s">
        <v>105</v>
      </c>
      <c r="P11" t="s">
        <v>106</v>
      </c>
      <c r="Y11">
        <f>Y2/B2</f>
        <v>257.42857142857144</v>
      </c>
      <c r="BR11" t="s">
        <v>101</v>
      </c>
      <c r="BS11" s="13">
        <f>$G$2/($G$2+$AP$2)</f>
        <v>0.5053521724438198</v>
      </c>
      <c r="BT11" s="13">
        <f>$G$3/($G$3+$AP$3)</f>
        <v>0.5070131166246693</v>
      </c>
      <c r="BU11" s="13">
        <f>$G$4/($G$4+$AP$4)</f>
        <v>0.50795790213086733</v>
      </c>
      <c r="BV11" s="13">
        <f>$G$5/($G$5+$AP$5)</f>
        <v>0.5305827852945435</v>
      </c>
      <c r="BW11" s="13">
        <f>$G$6/($G$6+$AP$6)</f>
        <v>0.53130346474609913</v>
      </c>
      <c r="BX11" s="13">
        <f>$G$7/($G$7+$AP$7)</f>
        <v>0.44380412164049965</v>
      </c>
    </row>
    <row r="12" spans="1:96" x14ac:dyDescent="0.3">
      <c r="Y12">
        <f t="shared" ref="Y12:Y16" si="0">Y3/B3</f>
        <v>247.16666666666666</v>
      </c>
    </row>
    <row r="13" spans="1:96" x14ac:dyDescent="0.3">
      <c r="E13">
        <f>E2/C2</f>
        <v>34.782537129526339</v>
      </c>
      <c r="F13">
        <f>F2/C2</f>
        <v>54.326886470864721</v>
      </c>
      <c r="J13">
        <f>AJ2/Y2</f>
        <v>0.64261931187569366</v>
      </c>
      <c r="K13">
        <f>AF2/B2</f>
        <v>48.857142857142854</v>
      </c>
      <c r="L13">
        <f>AI2/AF2</f>
        <v>3.8011695906432746E-2</v>
      </c>
      <c r="M13">
        <f>AK2</f>
        <v>2.0345821325648417</v>
      </c>
      <c r="N13">
        <f>AC2</f>
        <v>0.55555555555555558</v>
      </c>
      <c r="O13">
        <f t="shared" ref="O13:P13" si="1">AD2</f>
        <v>0.22619047619047619</v>
      </c>
      <c r="P13">
        <f t="shared" si="1"/>
        <v>0.21825396825396826</v>
      </c>
      <c r="Y13">
        <f t="shared" si="0"/>
        <v>286</v>
      </c>
    </row>
    <row r="14" spans="1:96" x14ac:dyDescent="0.3">
      <c r="E14">
        <f t="shared" ref="E14:E18" si="2">E3/C3</f>
        <v>28.172426455756764</v>
      </c>
      <c r="F14">
        <f t="shared" ref="F14:F18" si="3">F3/C3</f>
        <v>43.506673757502</v>
      </c>
      <c r="J14">
        <f t="shared" ref="J14:J18" si="4">AJ3/Y3</f>
        <v>0.61092380310182059</v>
      </c>
      <c r="K14">
        <f t="shared" ref="K14:K18" si="5">AF3/B3</f>
        <v>40.166666666666664</v>
      </c>
      <c r="L14">
        <f t="shared" ref="L14:L18" si="6">AI3/AF3</f>
        <v>2.0746887966804978E-2</v>
      </c>
      <c r="M14">
        <f t="shared" ref="M14:M18" si="7">AK3</f>
        <v>1.9132231404958677</v>
      </c>
      <c r="N14">
        <f t="shared" ref="N14:P14" si="8">AC3</f>
        <v>0.59809027777777779</v>
      </c>
      <c r="O14">
        <f t="shared" si="8"/>
        <v>0.20746527777777779</v>
      </c>
      <c r="P14">
        <f t="shared" si="8"/>
        <v>0.19444444444444445</v>
      </c>
      <c r="Y14">
        <f t="shared" si="0"/>
        <v>269</v>
      </c>
    </row>
    <row r="15" spans="1:96" x14ac:dyDescent="0.3">
      <c r="E15">
        <f t="shared" si="2"/>
        <v>27.670537514305956</v>
      </c>
      <c r="F15">
        <f t="shared" si="3"/>
        <v>46.011983498196692</v>
      </c>
      <c r="J15">
        <f t="shared" si="4"/>
        <v>0.59440559440559437</v>
      </c>
      <c r="K15">
        <f t="shared" si="5"/>
        <v>54</v>
      </c>
      <c r="L15">
        <f t="shared" si="6"/>
        <v>3.2407407407407406E-2</v>
      </c>
      <c r="M15">
        <f t="shared" si="7"/>
        <v>1.7031963470319635</v>
      </c>
      <c r="N15">
        <f t="shared" ref="N15:P15" si="9">AC4</f>
        <v>0.56491228070175437</v>
      </c>
      <c r="O15">
        <f t="shared" si="9"/>
        <v>0.2</v>
      </c>
      <c r="P15">
        <f t="shared" si="9"/>
        <v>0.23508771929824562</v>
      </c>
      <c r="Y15">
        <f t="shared" si="0"/>
        <v>236</v>
      </c>
    </row>
    <row r="16" spans="1:96" x14ac:dyDescent="0.3">
      <c r="E16">
        <f t="shared" si="2"/>
        <v>28.108892373442696</v>
      </c>
      <c r="F16">
        <f t="shared" si="3"/>
        <v>50.147101586316289</v>
      </c>
      <c r="J16">
        <f t="shared" si="4"/>
        <v>0.65551425030978938</v>
      </c>
      <c r="K16">
        <f t="shared" si="5"/>
        <v>40.666666666666664</v>
      </c>
      <c r="L16">
        <f t="shared" si="6"/>
        <v>4.0983606557377046E-2</v>
      </c>
      <c r="M16">
        <f t="shared" si="7"/>
        <v>2.0960000000000001</v>
      </c>
      <c r="N16">
        <f t="shared" ref="N16:P16" si="10">AC5</f>
        <v>0.61896838602329451</v>
      </c>
      <c r="O16">
        <f t="shared" si="10"/>
        <v>0.20299500831946754</v>
      </c>
      <c r="P16">
        <f t="shared" si="10"/>
        <v>0.17803660565723795</v>
      </c>
      <c r="Y16">
        <f t="shared" si="0"/>
        <v>274.5</v>
      </c>
    </row>
    <row r="17" spans="5:16" x14ac:dyDescent="0.3">
      <c r="E17">
        <f t="shared" si="2"/>
        <v>29.120912198473015</v>
      </c>
      <c r="F17">
        <f t="shared" si="3"/>
        <v>50.617253477505528</v>
      </c>
      <c r="J17">
        <f t="shared" si="4"/>
        <v>0.62076271186440679</v>
      </c>
      <c r="K17">
        <f t="shared" si="5"/>
        <v>40.25</v>
      </c>
      <c r="L17">
        <f t="shared" si="6"/>
        <v>3.1055900621118012E-2</v>
      </c>
      <c r="M17">
        <f t="shared" si="7"/>
        <v>1.834355828220859</v>
      </c>
      <c r="N17">
        <f t="shared" ref="N17:P17" si="11">AC6</f>
        <v>0.61627906976744184</v>
      </c>
      <c r="O17">
        <f t="shared" si="11"/>
        <v>0.2005813953488372</v>
      </c>
      <c r="P17">
        <f t="shared" si="11"/>
        <v>0.18313953488372092</v>
      </c>
    </row>
    <row r="18" spans="5:16" x14ac:dyDescent="0.3">
      <c r="E18">
        <f t="shared" si="2"/>
        <v>35.662923205921622</v>
      </c>
      <c r="F18">
        <f t="shared" si="3"/>
        <v>51.447054027095589</v>
      </c>
      <c r="J18">
        <f t="shared" si="4"/>
        <v>0.65270188221007897</v>
      </c>
      <c r="K18">
        <f t="shared" si="5"/>
        <v>53</v>
      </c>
      <c r="L18">
        <f t="shared" si="6"/>
        <v>3.4591194968553458E-2</v>
      </c>
      <c r="M18">
        <f t="shared" si="7"/>
        <v>2.1226415094339623</v>
      </c>
      <c r="N18">
        <f t="shared" ref="N18:P18" si="12">AC7</f>
        <v>0.49115044247787609</v>
      </c>
      <c r="O18">
        <f t="shared" si="12"/>
        <v>0.25132743362831861</v>
      </c>
      <c r="P18">
        <f t="shared" si="12"/>
        <v>0.2575221238938053</v>
      </c>
    </row>
    <row r="20" spans="5:16" x14ac:dyDescent="0.3">
      <c r="N20">
        <v>0.08</v>
      </c>
      <c r="O20">
        <v>0.04</v>
      </c>
      <c r="P20">
        <v>0.05</v>
      </c>
    </row>
  </sheetData>
  <mergeCells count="6">
    <mergeCell ref="CJ1:CK1"/>
    <mergeCell ref="BZ1:CA1"/>
    <mergeCell ref="CB1:CC1"/>
    <mergeCell ref="CD1:CE1"/>
    <mergeCell ref="CF1:CG1"/>
    <mergeCell ref="CH1:CI1"/>
  </mergeCells>
  <phoneticPr fontId="4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C2B62-AB40-4826-8660-4D00B471B1CC}">
  <dimension ref="A1:C7"/>
  <sheetViews>
    <sheetView topLeftCell="A5" workbookViewId="0">
      <selection activeCell="B2" sqref="B2:B7"/>
    </sheetView>
  </sheetViews>
  <sheetFormatPr defaultRowHeight="14.4" x14ac:dyDescent="0.3"/>
  <cols>
    <col min="1" max="1" width="18.21875" customWidth="1"/>
    <col min="2" max="2" width="27.44140625" customWidth="1"/>
  </cols>
  <sheetData>
    <row r="1" spans="1:3" x14ac:dyDescent="0.3">
      <c r="A1" t="s">
        <v>2</v>
      </c>
      <c r="B1" t="s">
        <v>0</v>
      </c>
    </row>
    <row r="2" spans="1:3" ht="100.5" customHeight="1" x14ac:dyDescent="0.3">
      <c r="A2" s="1"/>
      <c r="B2" t="s">
        <v>7</v>
      </c>
      <c r="C2" t="e">
        <f>IF(Cards!$J$2=Logos!B2,1,NA())</f>
        <v>#N/A</v>
      </c>
    </row>
    <row r="3" spans="1:3" ht="100.5" customHeight="1" x14ac:dyDescent="0.3">
      <c r="A3" s="1"/>
      <c r="B3" t="s">
        <v>8</v>
      </c>
      <c r="C3" t="e">
        <f>IF(Cards!$J$2=Logos!B3,1,NA())</f>
        <v>#N/A</v>
      </c>
    </row>
    <row r="4" spans="1:3" ht="100.5" customHeight="1" x14ac:dyDescent="0.3">
      <c r="A4" s="1"/>
      <c r="B4" t="s">
        <v>9</v>
      </c>
      <c r="C4" t="e">
        <f>IF(Cards!$J$2=Logos!B4,1,NA())</f>
        <v>#N/A</v>
      </c>
    </row>
    <row r="5" spans="1:3" ht="100.5" customHeight="1" x14ac:dyDescent="0.3">
      <c r="A5" s="1"/>
      <c r="B5" t="s">
        <v>10</v>
      </c>
      <c r="C5" t="e">
        <f>IF(Cards!$J$2=Logos!B5,1,NA())</f>
        <v>#N/A</v>
      </c>
    </row>
    <row r="6" spans="1:3" ht="100.5" customHeight="1" x14ac:dyDescent="0.3">
      <c r="A6" s="1"/>
      <c r="B6" t="s">
        <v>11</v>
      </c>
      <c r="C6" t="e">
        <f>IF(Cards!$J$2=Logos!B6,1,NA())</f>
        <v>#N/A</v>
      </c>
    </row>
    <row r="7" spans="1:3" ht="100.5" customHeight="1" x14ac:dyDescent="0.3">
      <c r="A7" s="1"/>
      <c r="B7" t="s">
        <v>12</v>
      </c>
      <c r="C7">
        <f>IF(Cards!$J$2=Logos!B7,1,NA())</f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Cards</vt:lpstr>
      <vt:lpstr>Team data</vt:lpstr>
      <vt:lpstr>Logos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Lars Skytte</dc:creator>
  <cp:keywords/>
  <dc:description/>
  <cp:lastModifiedBy>Lars Skytte</cp:lastModifiedBy>
  <cp:revision/>
  <dcterms:created xsi:type="dcterms:W3CDTF">2021-07-16T06:41:15Z</dcterms:created>
  <dcterms:modified xsi:type="dcterms:W3CDTF">2022-05-11T20:20:13Z</dcterms:modified>
  <cp:category/>
  <cp:contentStatus/>
</cp:coreProperties>
</file>